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11'!$A$1:$J$84</definedName>
  </definedNames>
  <calcPr fullCalcOnLoad="1"/>
</workbook>
</file>

<file path=xl/sharedStrings.xml><?xml version="1.0" encoding="utf-8"?>
<sst xmlns="http://schemas.openxmlformats.org/spreadsheetml/2006/main" count="738" uniqueCount="546">
  <si>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</si>
  <si>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</si>
  <si>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</si>
  <si>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</si>
  <si>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</si>
  <si>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</si>
  <si>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</si>
  <si>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</si>
  <si>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</si>
  <si>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</si>
  <si>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</si>
  <si>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</si>
  <si>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</si>
  <si>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</si>
  <si>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</si>
  <si>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</si>
  <si>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</si>
  <si>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</si>
  <si>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</si>
  <si>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</si>
  <si>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</si>
  <si>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</si>
  <si>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</si>
  <si>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</si>
  <si>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</si>
  <si>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</si>
  <si>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</si>
  <si>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</si>
  <si>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</si>
  <si>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</si>
  <si>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</si>
  <si>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</si>
  <si>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</si>
  <si>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</si>
  <si>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</si>
  <si>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</si>
  <si>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</si>
  <si>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</si>
  <si>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</si>
  <si>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</si>
  <si>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</si>
  <si>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</si>
  <si>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</si>
  <si>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</si>
  <si>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</si>
  <si>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</si>
  <si>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</si>
  <si>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</si>
  <si>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</si>
  <si>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</si>
  <si>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</si>
  <si>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</si>
  <si>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</si>
  <si>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</si>
  <si>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</si>
  <si>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</si>
  <si>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</si>
  <si>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</si>
  <si>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Фінансова підтримка КП "ЧЕЛУАШ" на проведення термінового (аварійного) поточного ремонту вулично-дорожньої мережі</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</si>
  <si>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</si>
  <si>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</si>
  <si>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</si>
  <si>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</si>
  <si>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</si>
  <si>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</si>
  <si>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</si>
  <si>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</si>
  <si>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</si>
  <si>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</si>
  <si>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</si>
  <si>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</si>
  <si>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Профінансовано станом на 22.09.15</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</si>
  <si>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</si>
  <si>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</si>
  <si>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</si>
  <si>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</si>
  <si>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</si>
  <si>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</si>
  <si>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</si>
  <si>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</si>
  <si>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</si>
  <si>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</si>
  <si>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</si>
  <si>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</si>
  <si>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</si>
  <si>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</si>
  <si>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</si>
  <si>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</si>
  <si>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</si>
  <si>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</si>
  <si>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</si>
  <si>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</si>
  <si>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</si>
  <si>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</si>
  <si>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</si>
  <si>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</si>
  <si>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</si>
  <si>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</si>
  <si>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</si>
  <si>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</si>
  <si>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</si>
  <si>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</si>
  <si>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</si>
  <si>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</si>
  <si>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</si>
  <si>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</si>
  <si>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</si>
  <si>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</si>
  <si>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</si>
  <si>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</si>
  <si>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</si>
  <si>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</si>
  <si>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</si>
  <si>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</si>
  <si>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</si>
  <si>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</si>
  <si>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</si>
  <si>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</si>
  <si>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</si>
  <si>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</si>
  <si>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</si>
  <si>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</si>
  <si>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</si>
  <si>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</si>
  <si>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</si>
  <si>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</si>
  <si>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</si>
  <si>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</si>
  <si>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</si>
  <si>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</si>
  <si>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</si>
  <si>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</si>
  <si>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</si>
  <si>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</si>
  <si>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</si>
  <si>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</si>
  <si>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</si>
  <si>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</si>
  <si>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</si>
  <si>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</si>
  <si>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</si>
  <si>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</si>
  <si>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</si>
  <si>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</si>
  <si>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</si>
  <si>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</si>
  <si>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</si>
  <si>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</si>
  <si>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</si>
  <si>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</si>
  <si>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</si>
  <si>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</si>
  <si>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</si>
  <si>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</si>
  <si>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</si>
  <si>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</si>
  <si>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</si>
  <si>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</si>
  <si>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</si>
  <si>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</si>
  <si>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</si>
  <si>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</si>
  <si>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</si>
  <si>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ЗФ</t>
  </si>
  <si>
    <t>СФ</t>
  </si>
  <si>
    <t>БР</t>
  </si>
  <si>
    <t>Роботи з проектування будівництва, реконструкції та ремонту доріг (кредиторська заборгованість 2014 р)</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</si>
  <si>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</si>
  <si>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</si>
  <si>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</si>
  <si>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</si>
  <si>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</si>
  <si>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</si>
  <si>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</si>
  <si>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</si>
  <si>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</si>
  <si>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</si>
  <si>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</si>
  <si>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</si>
  <si>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</si>
  <si>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</si>
  <si>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</si>
  <si>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</si>
  <si>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</si>
  <si>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</si>
  <si>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</si>
  <si>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</si>
  <si>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</si>
  <si>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</si>
  <si>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</si>
  <si>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</si>
  <si>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</si>
  <si>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</si>
  <si>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</si>
  <si>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</si>
  <si>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</si>
  <si>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</si>
  <si>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</si>
  <si>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</si>
  <si>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</si>
  <si>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</si>
  <si>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</si>
  <si>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</si>
  <si>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</si>
  <si>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</si>
  <si>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</si>
  <si>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Залишок призначень до плану 9 місяців</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</si>
  <si>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</si>
  <si>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</si>
  <si>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</si>
  <si>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</si>
  <si>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</si>
  <si>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</si>
  <si>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</si>
  <si>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</si>
  <si>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</si>
  <si>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</si>
  <si>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</si>
  <si>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</si>
  <si>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</si>
  <si>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</si>
  <si>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</si>
  <si>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</si>
  <si>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</si>
  <si>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</si>
  <si>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</si>
  <si>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</si>
  <si>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</si>
  <si>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</si>
  <si>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</si>
  <si>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</si>
  <si>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</si>
  <si>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</si>
  <si>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</si>
  <si>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</si>
  <si>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</si>
  <si>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</si>
  <si>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</si>
  <si>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</si>
  <si>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</si>
  <si>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</si>
  <si>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</si>
  <si>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</si>
  <si>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</si>
  <si>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</si>
  <si>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</si>
  <si>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</si>
  <si>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</si>
  <si>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</si>
  <si>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</si>
  <si>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</si>
  <si>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</si>
  <si>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</si>
  <si>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</si>
  <si>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</si>
  <si>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</si>
  <si>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</si>
  <si>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</si>
  <si>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</si>
  <si>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</si>
  <si>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</si>
  <si>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</si>
  <si>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</si>
  <si>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</si>
  <si>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</si>
  <si>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</si>
  <si>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</si>
  <si>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</si>
  <si>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</si>
  <si>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</si>
  <si>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</si>
  <si>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</si>
  <si>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</si>
  <si>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</si>
  <si>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Капітальний ремонт внутрішньоквартального проїзду з вул. В. Чорновола до буд. по вул. Радянській, 39/1 вздовж будинку В. Чорновола, 118/1 м. Черкаси (з ПКД) (в т.ч. кредиторська заборгованість 2014 року- 11795,0 грн.)</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</si>
  <si>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</si>
  <si>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</si>
  <si>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</si>
  <si>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</si>
  <si>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</si>
  <si>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</si>
  <si>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</si>
  <si>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</si>
  <si>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</si>
  <si>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</si>
  <si>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</si>
  <si>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</si>
  <si>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</si>
  <si>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</si>
  <si>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</si>
  <si>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</si>
  <si>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</si>
  <si>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</si>
  <si>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</si>
  <si>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</si>
  <si>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</si>
  <si>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</si>
  <si>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</si>
  <si>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</si>
  <si>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</si>
  <si>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</si>
  <si>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</si>
  <si>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</si>
  <si>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</si>
  <si>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</si>
  <si>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</si>
  <si>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</si>
  <si>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</si>
  <si>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</si>
  <si>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</si>
  <si>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</si>
  <si>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</si>
  <si>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</si>
  <si>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</si>
  <si>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</si>
  <si>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</si>
  <si>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</si>
  <si>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</si>
  <si>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</si>
  <si>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</si>
  <si>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в т.ч. по загальному фонду</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</si>
  <si>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</si>
  <si>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</si>
  <si>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</si>
  <si>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</si>
  <si>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</si>
  <si>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</si>
  <si>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</si>
  <si>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</si>
  <si>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</si>
  <si>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</si>
  <si>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</si>
  <si>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</si>
  <si>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</si>
  <si>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</si>
  <si>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</si>
  <si>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</si>
  <si>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</si>
  <si>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</si>
  <si>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</si>
  <si>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</si>
  <si>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</si>
  <si>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</si>
  <si>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</si>
  <si>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</si>
  <si>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</si>
  <si>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</si>
  <si>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</si>
  <si>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</si>
  <si>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</si>
  <si>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</si>
  <si>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</si>
  <si>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</si>
  <si>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</si>
  <si>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</si>
  <si>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</si>
  <si>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</si>
  <si>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</si>
  <si>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</si>
  <si>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</si>
  <si>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</si>
  <si>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</si>
  <si>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</si>
  <si>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</si>
  <si>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</si>
  <si>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</si>
  <si>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</si>
  <si>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</si>
  <si>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</si>
  <si>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</si>
  <si>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</si>
  <si>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</si>
  <si>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</si>
  <si>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</si>
  <si>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</si>
  <si>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</si>
  <si>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</si>
  <si>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</si>
  <si>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</si>
  <si>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</si>
  <si>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</si>
  <si>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</si>
  <si>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</si>
  <si>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</si>
  <si>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</si>
  <si>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</si>
  <si>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</si>
  <si>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</si>
  <si>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</si>
  <si>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</si>
  <si>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</si>
  <si>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</si>
  <si>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Капітальний ремонт тротуарів по  вул. Вербовецького від вул. Орджонікідзе до бул. Шевченка, м.Черкаси</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</si>
  <si>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</si>
  <si>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</si>
  <si>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</si>
  <si>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</si>
  <si>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</si>
  <si>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</si>
  <si>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</si>
  <si>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</si>
  <si>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</si>
  <si>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</si>
  <si>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</si>
  <si>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</si>
  <si>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</si>
  <si>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</si>
  <si>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</si>
  <si>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</si>
  <si>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</si>
  <si>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</si>
  <si>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</si>
  <si>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</si>
  <si>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</si>
  <si>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</si>
  <si>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</si>
  <si>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</si>
  <si>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</si>
  <si>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</si>
  <si>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</si>
  <si>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</si>
  <si>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</si>
  <si>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</si>
  <si>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</si>
  <si>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</si>
  <si>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</si>
  <si>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</si>
  <si>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</si>
  <si>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</si>
  <si>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</si>
  <si>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</si>
  <si>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</si>
  <si>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</si>
  <si>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</si>
  <si>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</si>
  <si>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</si>
  <si>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</si>
  <si>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</si>
  <si>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</si>
  <si>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</si>
  <si>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</si>
  <si>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</si>
  <si>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</si>
  <si>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</si>
  <si>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</si>
  <si>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</si>
  <si>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</si>
  <si>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</si>
  <si>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</si>
  <si>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</si>
  <si>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</si>
  <si>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</si>
  <si>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</si>
  <si>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</si>
  <si>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</si>
  <si>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</si>
  <si>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</si>
  <si>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</si>
  <si>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</si>
  <si>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</si>
  <si>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</si>
  <si>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</si>
  <si>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</si>
  <si>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</si>
  <si>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</si>
  <si>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</si>
  <si>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</si>
  <si>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</si>
  <si>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</si>
  <si>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</si>
  <si>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</si>
  <si>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</si>
  <si>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</si>
  <si>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</si>
  <si>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</si>
  <si>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</si>
  <si>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</si>
  <si>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</si>
  <si>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</si>
  <si>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</si>
  <si>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</si>
  <si>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</si>
  <si>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</si>
  <si>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</si>
  <si>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</si>
  <si>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</si>
  <si>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</si>
  <si>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</si>
  <si>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</si>
  <si>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</si>
  <si>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</si>
  <si>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</si>
  <si>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</si>
  <si>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</si>
  <si>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</si>
  <si>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</si>
  <si>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</si>
  <si>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</si>
  <si>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</si>
  <si>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</si>
  <si>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</si>
  <si>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</si>
  <si>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</si>
  <si>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</si>
  <si>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</si>
  <si>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</si>
  <si>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</si>
  <si>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</si>
  <si>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</si>
  <si>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</si>
  <si>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</si>
  <si>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</si>
  <si>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</si>
  <si>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</si>
  <si>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</si>
  <si>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</si>
  <si>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</si>
  <si>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</si>
  <si>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</si>
  <si>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</si>
  <si>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</si>
  <si>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</si>
  <si>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</si>
  <si>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</si>
  <si>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</si>
  <si>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</si>
  <si>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</si>
  <si>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</si>
  <si>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</si>
  <si>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</si>
  <si>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</si>
  <si>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</si>
  <si>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</si>
  <si>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</si>
  <si>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</si>
  <si>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</si>
  <si>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</si>
  <si>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</si>
  <si>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</si>
  <si>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</si>
  <si>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</si>
  <si>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</si>
  <si>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</si>
  <si>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Капітальний ремонт вул. Байди Вишневецького від Замкового узвозу до вул. Хрещатик</t>
  </si>
  <si>
    <t xml:space="preserve"> -  на проведення поточного ремонту та утримання об'єктів вулично-дорожньої мережі</t>
  </si>
  <si>
    <t>Відсоток виконання до плану  9 місяців</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</si>
</sst>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bottom/>
    </border>
    <border>
      <left style="thin"/>
      <right style="thin"/>
      <top/>
      <bottom style="thin"/>
    </border>
    <border>
      <left style="thin"/>
      <right/>
      <top style="thin"/>
      <bottom style="thin"/>
    </border>
    <border>
      <left/>
      <right/>
      <top style="thin"/>
      <bottom style="thin"/>
    </border>
    <border>
      <left>
        <color indexed="63"/>
      </left>
      <right>
        <color indexed="63"/>
      </right>
      <top>
        <color indexed="63"/>
      </top>
      <bottom style="thin"/>
    </border>
    <border>
      <left>
        <color indexed="63"/>
      </left>
      <right style="thin"/>
      <top>
        <color indexed="63"/>
      </top>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5" fillId="0" borderId="0" applyFont="0" applyFill="0" applyBorder="0" applyAlignment="0" applyProtection="0"/>
    <xf numFmtId="0" fontId="54" fillId="6" borderId="0" applyNumberFormat="0" applyBorder="0" applyAlignment="0" applyProtection="0"/>
  </cellStyleXfs>
  <cellXfs count="277">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5" fillId="0" borderId="11" xfId="79"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4"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6"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6" xfId="89" applyNumberFormat="1" applyFont="1" applyFill="1" applyBorder="1" applyAlignment="1">
      <alignment horizontal="center" vertical="center"/>
    </xf>
    <xf numFmtId="4" fontId="5"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4" fontId="24" fillId="20" borderId="16" xfId="0" applyNumberFormat="1" applyFont="1" applyFill="1" applyBorder="1" applyAlignment="1">
      <alignment horizontal="center"/>
    </xf>
    <xf numFmtId="4" fontId="18" fillId="4" borderId="11" xfId="78" applyNumberFormat="1" applyFont="1" applyFill="1" applyBorder="1" applyAlignment="1">
      <alignment horizontal="center" vertical="center"/>
      <protection/>
    </xf>
    <xf numFmtId="4" fontId="24" fillId="4" borderId="11" xfId="0" applyNumberFormat="1" applyFont="1" applyFill="1" applyBorder="1" applyAlignment="1">
      <alignment horizontal="center"/>
    </xf>
    <xf numFmtId="0" fontId="0" fillId="4" borderId="11" xfId="79" applyFont="1" applyFill="1" applyBorder="1">
      <alignment/>
      <protection/>
    </xf>
    <xf numFmtId="4" fontId="24" fillId="20" borderId="11" xfId="0" applyNumberFormat="1" applyFont="1" applyFill="1" applyBorder="1" applyAlignment="1">
      <alignment horizontal="center"/>
    </xf>
    <xf numFmtId="4" fontId="5" fillId="0" borderId="18" xfId="0" applyNumberFormat="1" applyFont="1" applyFill="1" applyBorder="1" applyAlignment="1">
      <alignment horizontal="center"/>
    </xf>
    <xf numFmtId="4" fontId="24" fillId="5" borderId="19" xfId="0" applyNumberFormat="1" applyFont="1" applyFill="1" applyBorder="1" applyAlignment="1">
      <alignment horizontal="center"/>
    </xf>
    <xf numFmtId="4" fontId="24" fillId="5" borderId="18" xfId="0" applyNumberFormat="1" applyFont="1" applyFill="1" applyBorder="1" applyAlignment="1">
      <alignment horizontal="center"/>
    </xf>
    <xf numFmtId="0" fontId="24" fillId="0" borderId="11" xfId="0" applyFont="1" applyFill="1" applyBorder="1" applyAlignment="1">
      <alignment horizontal="center" vertical="center" wrapText="1"/>
    </xf>
    <xf numFmtId="4" fontId="24" fillId="0" borderId="17" xfId="79" applyNumberFormat="1" applyFont="1" applyBorder="1" applyAlignment="1">
      <alignment horizontal="center" wrapText="1"/>
      <protection/>
    </xf>
    <xf numFmtId="0" fontId="3" fillId="20" borderId="0" xfId="79" applyFont="1" applyFill="1">
      <alignment/>
      <protection/>
    </xf>
    <xf numFmtId="4" fontId="24" fillId="20" borderId="11"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4" fontId="5" fillId="25" borderId="20" xfId="89" applyNumberFormat="1" applyFont="1" applyFill="1" applyBorder="1" applyAlignment="1">
      <alignment horizontal="center" vertical="center"/>
    </xf>
    <xf numFmtId="4" fontId="5" fillId="0" borderId="21" xfId="0" applyNumberFormat="1" applyFont="1" applyFill="1" applyBorder="1" applyAlignment="1">
      <alignment horizontal="center"/>
    </xf>
    <xf numFmtId="0" fontId="0" fillId="4" borderId="20" xfId="79" applyFont="1" applyFill="1" applyBorder="1">
      <alignment/>
      <protection/>
    </xf>
    <xf numFmtId="4" fontId="24" fillId="5" borderId="20" xfId="0" applyNumberFormat="1" applyFont="1" applyFill="1" applyBorder="1" applyAlignment="1">
      <alignment horizontal="center"/>
    </xf>
    <xf numFmtId="4" fontId="5" fillId="0" borderId="20" xfId="0" applyNumberFormat="1" applyFont="1" applyFill="1" applyBorder="1" applyAlignment="1">
      <alignment horizontal="center"/>
    </xf>
    <xf numFmtId="4" fontId="18" fillId="20" borderId="20" xfId="0" applyNumberFormat="1" applyFont="1" applyFill="1" applyBorder="1" applyAlignment="1">
      <alignment horizontal="center" vertical="center"/>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24" fillId="0" borderId="16" xfId="79" applyNumberFormat="1" applyFont="1" applyBorder="1" applyAlignment="1">
      <alignment horizontal="center" wrapText="1"/>
      <protection/>
    </xf>
    <xf numFmtId="0" fontId="0" fillId="0" borderId="22" xfId="79" applyFont="1" applyFill="1" applyBorder="1">
      <alignment/>
      <protection/>
    </xf>
    <xf numFmtId="4" fontId="24" fillId="0" borderId="11" xfId="89" applyNumberFormat="1" applyFont="1" applyFill="1" applyBorder="1" applyAlignment="1">
      <alignment horizontal="center" vertical="center"/>
    </xf>
    <xf numFmtId="4" fontId="0" fillId="4" borderId="20" xfId="79" applyNumberFormat="1" applyFont="1" applyFill="1" applyBorder="1">
      <alignment/>
      <protection/>
    </xf>
    <xf numFmtId="0" fontId="0" fillId="0" borderId="0" xfId="79" applyFont="1" applyFill="1" applyBorder="1">
      <alignment/>
      <protection/>
    </xf>
    <xf numFmtId="0" fontId="13" fillId="0" borderId="0" xfId="0" applyFont="1" applyBorder="1" applyAlignment="1">
      <alignment horizontal="center" vertical="center" wrapText="1"/>
    </xf>
    <xf numFmtId="0" fontId="5" fillId="0" borderId="0" xfId="79" applyFont="1" applyFill="1" applyBorder="1" applyAlignment="1">
      <alignment horizontal="center" wrapText="1"/>
      <protection/>
    </xf>
    <xf numFmtId="4" fontId="5" fillId="0" borderId="11" xfId="89" applyNumberFormat="1" applyFont="1" applyFill="1" applyBorder="1" applyAlignment="1">
      <alignment horizontal="center" vertical="center"/>
    </xf>
    <xf numFmtId="4" fontId="5" fillId="0" borderId="0" xfId="0" applyNumberFormat="1" applyFont="1" applyFill="1" applyBorder="1" applyAlignment="1">
      <alignment horizontal="center"/>
    </xf>
    <xf numFmtId="4" fontId="24" fillId="0" borderId="0" xfId="89" applyNumberFormat="1" applyFont="1" applyFill="1" applyBorder="1" applyAlignment="1">
      <alignment horizontal="center" vertical="center"/>
    </xf>
    <xf numFmtId="4" fontId="5" fillId="0" borderId="0" xfId="79" applyNumberFormat="1" applyFont="1" applyFill="1" applyBorder="1" applyAlignment="1">
      <alignment horizontal="center" wrapText="1"/>
      <protection/>
    </xf>
    <xf numFmtId="4" fontId="5" fillId="0" borderId="0" xfId="89" applyNumberFormat="1" applyFont="1" applyFill="1" applyBorder="1" applyAlignment="1">
      <alignment horizontal="center" vertical="center"/>
    </xf>
    <xf numFmtId="0" fontId="13" fillId="0" borderId="0" xfId="0" applyFont="1" applyFill="1" applyBorder="1" applyAlignment="1">
      <alignment horizontal="center" vertical="center" wrapText="1"/>
    </xf>
    <xf numFmtId="4" fontId="5" fillId="7" borderId="11" xfId="79" applyNumberFormat="1" applyFont="1" applyFill="1" applyBorder="1" applyAlignment="1">
      <alignment/>
      <protection/>
    </xf>
    <xf numFmtId="4" fontId="24" fillId="7" borderId="11" xfId="79" applyNumberFormat="1" applyFont="1" applyFill="1" applyBorder="1" applyAlignment="1">
      <alignment/>
      <protection/>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3" fillId="0" borderId="0" xfId="79" applyFont="1" applyFill="1">
      <alignment/>
      <protection/>
    </xf>
    <xf numFmtId="4" fontId="5" fillId="25" borderId="11" xfId="89" applyNumberFormat="1" applyFont="1" applyFill="1" applyBorder="1" applyAlignment="1">
      <alignment horizontal="center" vertical="center"/>
    </xf>
    <xf numFmtId="0" fontId="0" fillId="0" borderId="18" xfId="79" applyFont="1" applyBorder="1">
      <alignment/>
      <protection/>
    </xf>
    <xf numFmtId="4" fontId="24" fillId="0" borderId="11" xfId="0" applyNumberFormat="1" applyFont="1" applyFill="1" applyBorder="1" applyAlignment="1">
      <alignment horizontal="center"/>
    </xf>
    <xf numFmtId="0" fontId="30" fillId="0" borderId="23" xfId="0" applyNumberFormat="1" applyFont="1" applyFill="1" applyBorder="1" applyAlignment="1" applyProtection="1">
      <alignment horizontal="center" vertical="center" wrapText="1"/>
      <protection/>
    </xf>
    <xf numFmtId="0" fontId="30"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13" fillId="0"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13" fillId="0" borderId="25"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31" fillId="0" borderId="11" xfId="0" applyNumberFormat="1" applyFont="1" applyFill="1" applyBorder="1" applyAlignment="1">
      <alignment horizontal="left" vertical="center" wrapText="1"/>
    </xf>
    <xf numFmtId="0"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49" fontId="38" fillId="0" borderId="11" xfId="0" applyNumberFormat="1" applyFont="1" applyFill="1" applyBorder="1" applyAlignment="1">
      <alignment horizontal="justify" vertical="center" wrapText="1"/>
    </xf>
    <xf numFmtId="0" fontId="20" fillId="0" borderId="0" xfId="79" applyFont="1" applyAlignment="1">
      <alignment horizontal="center"/>
      <protection/>
    </xf>
    <xf numFmtId="0" fontId="20" fillId="0" borderId="0" xfId="79" applyFont="1" applyAlignment="1">
      <alignment horizontal="center" wrapText="1"/>
      <protection/>
    </xf>
    <xf numFmtId="0" fontId="13" fillId="0" borderId="16" xfId="0" applyFont="1" applyBorder="1" applyAlignment="1">
      <alignment horizontal="center" vertical="center" wrapText="1"/>
    </xf>
    <xf numFmtId="0" fontId="13" fillId="0" borderId="11" xfId="0" applyFont="1" applyBorder="1" applyAlignment="1">
      <alignment horizontal="center" vertical="center" wrapText="1"/>
    </xf>
    <xf numFmtId="0" fontId="25" fillId="0" borderId="0" xfId="79" applyFont="1" applyAlignment="1">
      <alignment horizontal="left"/>
      <protection/>
    </xf>
    <xf numFmtId="0" fontId="5" fillId="0" borderId="11" xfId="79" applyFont="1" applyBorder="1" applyAlignment="1">
      <alignment horizontal="center" vertical="center"/>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20" xfId="79" applyFont="1" applyBorder="1" applyAlignment="1">
      <alignment horizontal="center" wrapText="1"/>
      <protection/>
    </xf>
    <xf numFmtId="0" fontId="5" fillId="0" borderId="27" xfId="79" applyFont="1" applyBorder="1" applyAlignment="1">
      <alignment horizontal="center" wrapText="1"/>
      <protection/>
    </xf>
    <xf numFmtId="0" fontId="5" fillId="0" borderId="28" xfId="79" applyFont="1" applyBorder="1" applyAlignment="1">
      <alignment horizontal="center" wrapText="1"/>
      <protection/>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51"/>
      <c r="C1" s="251"/>
      <c r="D1" s="251"/>
      <c r="E1" s="251"/>
      <c r="F1" s="251"/>
      <c r="G1" s="251"/>
      <c r="H1" s="251"/>
      <c r="I1" s="251"/>
      <c r="J1" s="251"/>
      <c r="K1" s="251"/>
      <c r="L1" s="251"/>
      <c r="M1" s="251"/>
      <c r="N1" s="251"/>
      <c r="O1" s="251"/>
      <c r="P1" s="251"/>
      <c r="Q1" s="251"/>
      <c r="R1" s="251"/>
      <c r="S1" s="251"/>
      <c r="T1" s="251"/>
      <c r="U1" s="251"/>
      <c r="V1" s="251"/>
      <c r="W1" s="251"/>
    </row>
    <row r="2" spans="1:24" s="42" customFormat="1" ht="66" customHeight="1">
      <c r="A2" s="48"/>
      <c r="B2" s="48"/>
      <c r="C2" s="2"/>
      <c r="D2" s="48"/>
      <c r="E2" s="48"/>
      <c r="F2" s="48"/>
      <c r="G2" s="46"/>
      <c r="H2" s="1"/>
      <c r="I2" s="1"/>
      <c r="J2" s="1"/>
      <c r="K2" s="1"/>
      <c r="L2" s="1"/>
      <c r="M2" s="1"/>
      <c r="N2" s="46"/>
      <c r="O2" s="1"/>
      <c r="P2" s="1"/>
      <c r="Q2" s="1"/>
      <c r="R2" s="1"/>
      <c r="S2" s="252" t="s">
        <v>104</v>
      </c>
      <c r="T2" s="252"/>
      <c r="U2" s="252"/>
      <c r="V2" s="252"/>
      <c r="W2" s="252"/>
      <c r="X2" s="252"/>
    </row>
    <row r="3" spans="1:23" s="4" customFormat="1" ht="45" customHeight="1">
      <c r="A3" s="48"/>
      <c r="B3" s="253" t="s">
        <v>374</v>
      </c>
      <c r="C3" s="253"/>
      <c r="D3" s="254"/>
      <c r="E3" s="254"/>
      <c r="F3" s="254"/>
      <c r="G3" s="254"/>
      <c r="H3" s="254"/>
      <c r="I3" s="254"/>
      <c r="J3" s="254"/>
      <c r="K3" s="254"/>
      <c r="L3" s="254"/>
      <c r="M3" s="254"/>
      <c r="N3" s="254"/>
      <c r="O3" s="254"/>
      <c r="P3" s="254"/>
      <c r="Q3" s="254"/>
      <c r="R3" s="254"/>
      <c r="S3" s="254"/>
      <c r="T3" s="254"/>
      <c r="U3" s="254"/>
      <c r="V3" s="254"/>
      <c r="W3" s="254"/>
    </row>
    <row r="4" spans="1:23" s="42" customFormat="1" ht="18.75">
      <c r="A4" s="5"/>
      <c r="B4" s="15"/>
      <c r="C4" s="113"/>
      <c r="D4" s="61"/>
      <c r="E4" s="61"/>
      <c r="F4" s="61"/>
      <c r="G4" s="47"/>
      <c r="H4" s="6"/>
      <c r="I4" s="62"/>
      <c r="J4" s="62"/>
      <c r="K4" s="62"/>
      <c r="L4" s="61"/>
      <c r="M4" s="61"/>
      <c r="N4" s="3"/>
      <c r="O4" s="7"/>
      <c r="P4" s="7"/>
      <c r="Q4" s="7"/>
      <c r="R4" s="7"/>
      <c r="S4" s="7"/>
      <c r="T4" s="7"/>
      <c r="U4" s="7"/>
      <c r="V4" s="7"/>
      <c r="W4" s="78" t="s">
        <v>238</v>
      </c>
    </row>
    <row r="5" spans="1:23" s="42" customFormat="1" ht="21.75" customHeight="1">
      <c r="A5" s="63"/>
      <c r="B5" s="255" t="s">
        <v>296</v>
      </c>
      <c r="C5" s="234" t="s">
        <v>375</v>
      </c>
      <c r="D5" s="234" t="s">
        <v>235</v>
      </c>
      <c r="E5" s="232" t="s">
        <v>226</v>
      </c>
      <c r="F5" s="233" t="s">
        <v>393</v>
      </c>
      <c r="G5" s="243" t="s">
        <v>217</v>
      </c>
      <c r="H5" s="243"/>
      <c r="I5" s="243"/>
      <c r="J5" s="243"/>
      <c r="K5" s="243"/>
      <c r="L5" s="243"/>
      <c r="M5" s="243"/>
      <c r="N5" s="245" t="s">
        <v>218</v>
      </c>
      <c r="O5" s="246"/>
      <c r="P5" s="246"/>
      <c r="Q5" s="246"/>
      <c r="R5" s="246"/>
      <c r="S5" s="246"/>
      <c r="T5" s="246"/>
      <c r="U5" s="246"/>
      <c r="V5" s="247"/>
      <c r="W5" s="244" t="s">
        <v>219</v>
      </c>
    </row>
    <row r="6" spans="1:23" s="42" customFormat="1" ht="16.5" customHeight="1">
      <c r="A6" s="64"/>
      <c r="B6" s="230"/>
      <c r="C6" s="235"/>
      <c r="D6" s="235"/>
      <c r="E6" s="232"/>
      <c r="F6" s="237"/>
      <c r="G6" s="256" t="s">
        <v>220</v>
      </c>
      <c r="H6" s="238" t="s">
        <v>221</v>
      </c>
      <c r="I6" s="237" t="s">
        <v>222</v>
      </c>
      <c r="J6" s="237"/>
      <c r="K6" s="237"/>
      <c r="L6" s="237"/>
      <c r="M6" s="238" t="s">
        <v>223</v>
      </c>
      <c r="N6" s="248" t="s">
        <v>220</v>
      </c>
      <c r="O6" s="238" t="s">
        <v>221</v>
      </c>
      <c r="P6" s="237" t="s">
        <v>222</v>
      </c>
      <c r="Q6" s="237"/>
      <c r="R6" s="237"/>
      <c r="S6" s="237"/>
      <c r="T6" s="238" t="s">
        <v>223</v>
      </c>
      <c r="U6" s="239" t="s">
        <v>222</v>
      </c>
      <c r="V6" s="240"/>
      <c r="W6" s="244"/>
    </row>
    <row r="7" spans="1:23" s="42" customFormat="1" ht="20.25" customHeight="1">
      <c r="A7" s="65"/>
      <c r="B7" s="230"/>
      <c r="C7" s="235"/>
      <c r="D7" s="235"/>
      <c r="E7" s="232"/>
      <c r="F7" s="237"/>
      <c r="G7" s="256"/>
      <c r="H7" s="238"/>
      <c r="I7" s="237" t="s">
        <v>299</v>
      </c>
      <c r="J7" s="241" t="s">
        <v>85</v>
      </c>
      <c r="K7" s="241" t="s">
        <v>86</v>
      </c>
      <c r="L7" s="237" t="s">
        <v>224</v>
      </c>
      <c r="M7" s="238"/>
      <c r="N7" s="248"/>
      <c r="O7" s="238"/>
      <c r="P7" s="237" t="s">
        <v>299</v>
      </c>
      <c r="Q7" s="241" t="s">
        <v>85</v>
      </c>
      <c r="R7" s="241" t="s">
        <v>86</v>
      </c>
      <c r="S7" s="237" t="s">
        <v>224</v>
      </c>
      <c r="T7" s="238"/>
      <c r="U7" s="237" t="s">
        <v>231</v>
      </c>
      <c r="V7" s="34" t="s">
        <v>222</v>
      </c>
      <c r="W7" s="244"/>
    </row>
    <row r="8" spans="1:23" s="42" customFormat="1" ht="114.75" customHeight="1">
      <c r="A8" s="66"/>
      <c r="B8" s="231"/>
      <c r="C8" s="236"/>
      <c r="D8" s="236"/>
      <c r="E8" s="232"/>
      <c r="F8" s="237"/>
      <c r="G8" s="256"/>
      <c r="H8" s="238"/>
      <c r="I8" s="237"/>
      <c r="J8" s="242"/>
      <c r="K8" s="242"/>
      <c r="L8" s="237"/>
      <c r="M8" s="238"/>
      <c r="N8" s="248"/>
      <c r="O8" s="238"/>
      <c r="P8" s="237"/>
      <c r="Q8" s="242"/>
      <c r="R8" s="242"/>
      <c r="S8" s="237"/>
      <c r="T8" s="238"/>
      <c r="U8" s="237"/>
      <c r="V8" s="34" t="s">
        <v>89</v>
      </c>
      <c r="W8" s="244"/>
    </row>
    <row r="9" spans="1:23" s="68" customFormat="1" ht="28.5" customHeight="1">
      <c r="A9" s="67"/>
      <c r="B9" s="16" t="s">
        <v>229</v>
      </c>
      <c r="C9" s="21" t="s">
        <v>376</v>
      </c>
      <c r="D9" s="21"/>
      <c r="E9" s="21"/>
      <c r="F9" s="22" t="s">
        <v>239</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229</v>
      </c>
      <c r="C10" s="21" t="s">
        <v>377</v>
      </c>
      <c r="D10" s="21"/>
      <c r="E10" s="21"/>
      <c r="F10" s="22" t="s">
        <v>239</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236</v>
      </c>
      <c r="C11" s="17" t="s">
        <v>378</v>
      </c>
      <c r="D11" s="17" t="s">
        <v>230</v>
      </c>
      <c r="E11" s="17" t="s">
        <v>225</v>
      </c>
      <c r="F11" s="12" t="s">
        <v>443</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227</v>
      </c>
      <c r="C12" s="17" t="s">
        <v>380</v>
      </c>
      <c r="D12" s="17" t="s">
        <v>244</v>
      </c>
      <c r="E12" s="17" t="s">
        <v>300</v>
      </c>
      <c r="F12" s="20" t="s">
        <v>445</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379</v>
      </c>
      <c r="D13" s="17" t="s">
        <v>243</v>
      </c>
      <c r="E13" s="17" t="s">
        <v>298</v>
      </c>
      <c r="F13" s="20" t="s">
        <v>444</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344</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381</v>
      </c>
      <c r="D15" s="17" t="s">
        <v>301</v>
      </c>
      <c r="E15" s="17" t="s">
        <v>302</v>
      </c>
      <c r="F15" s="20" t="s">
        <v>446</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527</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382</v>
      </c>
      <c r="D17" s="17" t="s">
        <v>248</v>
      </c>
      <c r="E17" s="17" t="s">
        <v>303</v>
      </c>
      <c r="F17" s="20" t="s">
        <v>278</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330</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331</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332</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333</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501</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334</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383</v>
      </c>
      <c r="D24" s="21"/>
      <c r="E24" s="21"/>
      <c r="F24" s="22" t="s">
        <v>384</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385</v>
      </c>
      <c r="D25" s="21"/>
      <c r="E25" s="21"/>
      <c r="F25" s="22" t="s">
        <v>384</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236</v>
      </c>
      <c r="C26" s="17" t="s">
        <v>386</v>
      </c>
      <c r="D26" s="17" t="s">
        <v>230</v>
      </c>
      <c r="E26" s="17" t="s">
        <v>225</v>
      </c>
      <c r="F26" s="12" t="s">
        <v>443</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387</v>
      </c>
      <c r="D27" s="21"/>
      <c r="E27" s="21"/>
      <c r="F27" s="22" t="s">
        <v>249</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387</v>
      </c>
      <c r="D28" s="21"/>
      <c r="E28" s="21"/>
      <c r="F28" s="22" t="s">
        <v>249</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236</v>
      </c>
      <c r="C29" s="17" t="s">
        <v>388</v>
      </c>
      <c r="D29" s="17" t="s">
        <v>230</v>
      </c>
      <c r="E29" s="17" t="s">
        <v>225</v>
      </c>
      <c r="F29" s="12" t="s">
        <v>443</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389</v>
      </c>
      <c r="D30" s="16" t="s">
        <v>250</v>
      </c>
      <c r="E30" s="16"/>
      <c r="F30" s="10" t="s">
        <v>251</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187</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188</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189</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390</v>
      </c>
      <c r="D34" s="17" t="s">
        <v>252</v>
      </c>
      <c r="E34" s="17" t="s">
        <v>304</v>
      </c>
      <c r="F34" s="20" t="s">
        <v>447</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186</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253</v>
      </c>
      <c r="E36" s="17" t="s">
        <v>305</v>
      </c>
      <c r="F36" s="20" t="s">
        <v>448</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187</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188</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189</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254</v>
      </c>
      <c r="E40" s="17" t="s">
        <v>306</v>
      </c>
      <c r="F40" s="20" t="s">
        <v>449</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190</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240</v>
      </c>
      <c r="E42" s="17" t="s">
        <v>304</v>
      </c>
      <c r="F42" s="20" t="s">
        <v>0</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255</v>
      </c>
      <c r="E43" s="17" t="s">
        <v>1</v>
      </c>
      <c r="F43" s="20" t="s">
        <v>2</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256</v>
      </c>
      <c r="E44" s="17" t="s">
        <v>3</v>
      </c>
      <c r="F44" s="20" t="s">
        <v>450</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257</v>
      </c>
      <c r="E45" s="17" t="s">
        <v>4</v>
      </c>
      <c r="F45" s="20" t="s">
        <v>451</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258</v>
      </c>
      <c r="E46" s="17" t="s">
        <v>5</v>
      </c>
      <c r="F46" s="20" t="s">
        <v>452</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259</v>
      </c>
      <c r="E47" s="17" t="s">
        <v>5</v>
      </c>
      <c r="F47" s="20" t="s">
        <v>453</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260</v>
      </c>
      <c r="E48" s="17" t="s">
        <v>6</v>
      </c>
      <c r="F48" s="20" t="s">
        <v>454</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261</v>
      </c>
      <c r="E49" s="17" t="s">
        <v>6</v>
      </c>
      <c r="F49" s="20" t="s">
        <v>455</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262</v>
      </c>
      <c r="E50" s="17" t="s">
        <v>6</v>
      </c>
      <c r="F50" s="20" t="s">
        <v>456</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241</v>
      </c>
      <c r="E51" s="16"/>
      <c r="F51" s="10" t="s">
        <v>242</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7</v>
      </c>
      <c r="E52" s="17" t="s">
        <v>8</v>
      </c>
      <c r="F52" s="20" t="s">
        <v>457</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9</v>
      </c>
      <c r="E53" s="17" t="s">
        <v>8</v>
      </c>
      <c r="F53" s="20" t="s">
        <v>458</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10</v>
      </c>
      <c r="E54" s="17" t="s">
        <v>8</v>
      </c>
      <c r="F54" s="20" t="s">
        <v>459</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12</v>
      </c>
      <c r="E55" s="17" t="s">
        <v>8</v>
      </c>
      <c r="F55" s="20" t="s">
        <v>460</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11</v>
      </c>
      <c r="E56" s="17" t="s">
        <v>8</v>
      </c>
      <c r="F56" s="20" t="s">
        <v>278</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263</v>
      </c>
      <c r="E57" s="16"/>
      <c r="F57" s="10" t="s">
        <v>13</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14</v>
      </c>
      <c r="E58" s="17" t="s">
        <v>17</v>
      </c>
      <c r="F58" s="20" t="s">
        <v>264</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15</v>
      </c>
      <c r="E59" s="17" t="s">
        <v>18</v>
      </c>
      <c r="F59" s="20" t="s">
        <v>461</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16</v>
      </c>
      <c r="E60" s="17" t="s">
        <v>20</v>
      </c>
      <c r="F60" s="20" t="s">
        <v>19</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244</v>
      </c>
      <c r="E61" s="17" t="s">
        <v>21</v>
      </c>
      <c r="F61" s="20" t="s">
        <v>22</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265</v>
      </c>
      <c r="E62" s="16"/>
      <c r="F62" s="10" t="s">
        <v>266</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23</v>
      </c>
      <c r="E63" s="17" t="s">
        <v>27</v>
      </c>
      <c r="F63" s="20" t="s">
        <v>462</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24</v>
      </c>
      <c r="E64" s="17" t="s">
        <v>27</v>
      </c>
      <c r="F64" s="20" t="s">
        <v>463</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25</v>
      </c>
      <c r="E65" s="17" t="s">
        <v>27</v>
      </c>
      <c r="F65" s="20" t="s">
        <v>464</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26</v>
      </c>
      <c r="E66" s="17" t="s">
        <v>27</v>
      </c>
      <c r="F66" s="20" t="s">
        <v>465</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245</v>
      </c>
      <c r="E67" s="16"/>
      <c r="F67" s="10" t="s">
        <v>246</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233</v>
      </c>
      <c r="E68" s="17" t="s">
        <v>234</v>
      </c>
      <c r="F68" s="20" t="s">
        <v>466</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267</v>
      </c>
      <c r="E69" s="17" t="s">
        <v>305</v>
      </c>
      <c r="F69" s="20" t="s">
        <v>167</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268</v>
      </c>
      <c r="E70" s="17" t="s">
        <v>20</v>
      </c>
      <c r="F70" s="20" t="s">
        <v>168</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247</v>
      </c>
      <c r="E71" s="16" t="s">
        <v>234</v>
      </c>
      <c r="F71" s="10" t="s">
        <v>28</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180</v>
      </c>
      <c r="E72" s="16" t="s">
        <v>232</v>
      </c>
      <c r="F72" s="10" t="s">
        <v>169</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248</v>
      </c>
      <c r="E73" s="16" t="s">
        <v>303</v>
      </c>
      <c r="F73" s="10" t="s">
        <v>278</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179</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394</v>
      </c>
      <c r="D75" s="21"/>
      <c r="E75" s="21"/>
      <c r="F75" s="22" t="s">
        <v>269</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395</v>
      </c>
      <c r="D76" s="21"/>
      <c r="E76" s="21"/>
      <c r="F76" s="22" t="s">
        <v>391</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236</v>
      </c>
      <c r="C77" s="17" t="s">
        <v>396</v>
      </c>
      <c r="D77" s="17" t="s">
        <v>230</v>
      </c>
      <c r="E77" s="17" t="s">
        <v>225</v>
      </c>
      <c r="F77" s="12" t="s">
        <v>443</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270</v>
      </c>
      <c r="E78" s="16"/>
      <c r="F78" s="10" t="s">
        <v>297</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185</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103</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271</v>
      </c>
      <c r="E81" s="17" t="s">
        <v>29</v>
      </c>
      <c r="F81" s="20" t="s">
        <v>170</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191</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103</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272</v>
      </c>
      <c r="E84" s="17" t="s">
        <v>30</v>
      </c>
      <c r="F84" s="20" t="s">
        <v>171</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191</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273</v>
      </c>
      <c r="E86" s="17" t="s">
        <v>31</v>
      </c>
      <c r="F86" s="20" t="s">
        <v>172</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191</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275</v>
      </c>
      <c r="E88" s="17" t="s">
        <v>32</v>
      </c>
      <c r="F88" s="20" t="s">
        <v>173</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191</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276</v>
      </c>
      <c r="E90" s="17" t="s">
        <v>33</v>
      </c>
      <c r="F90" s="20" t="s">
        <v>174</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191</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350</v>
      </c>
      <c r="E92" s="17"/>
      <c r="F92" s="20" t="s">
        <v>488</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111</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245</v>
      </c>
      <c r="E94" s="16"/>
      <c r="F94" s="10" t="s">
        <v>246</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34</v>
      </c>
      <c r="E95" s="17" t="s">
        <v>29</v>
      </c>
      <c r="F95" s="20" t="s">
        <v>175</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248</v>
      </c>
      <c r="E96" s="16" t="s">
        <v>303</v>
      </c>
      <c r="F96" s="10" t="s">
        <v>278</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277</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397</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236</v>
      </c>
      <c r="C99" s="17" t="s">
        <v>398</v>
      </c>
      <c r="D99" s="17" t="s">
        <v>230</v>
      </c>
      <c r="E99" s="17" t="s">
        <v>225</v>
      </c>
      <c r="F99" s="12" t="s">
        <v>443</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399</v>
      </c>
      <c r="D100" s="17" t="s">
        <v>240</v>
      </c>
      <c r="E100" s="17" t="s">
        <v>192</v>
      </c>
      <c r="F100" s="12" t="s">
        <v>176</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346</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241</v>
      </c>
      <c r="E102" s="16"/>
      <c r="F102" s="10" t="s">
        <v>242</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346</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111</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345</v>
      </c>
      <c r="E105" s="69" t="s">
        <v>193</v>
      </c>
      <c r="F105" s="70" t="s">
        <v>177</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346</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348</v>
      </c>
      <c r="E107" s="115">
        <v>1030</v>
      </c>
      <c r="F107" s="44" t="s">
        <v>486</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346</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349</v>
      </c>
      <c r="E109" s="69" t="s">
        <v>194</v>
      </c>
      <c r="F109" s="116" t="s">
        <v>487</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346</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352</v>
      </c>
      <c r="E111" s="71">
        <v>1070</v>
      </c>
      <c r="F111" s="43" t="s">
        <v>489</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346</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362</v>
      </c>
      <c r="E113" s="71">
        <v>1060</v>
      </c>
      <c r="F113" s="43" t="s">
        <v>499</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346</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364</v>
      </c>
      <c r="E115" s="71">
        <v>1060</v>
      </c>
      <c r="F115" s="43" t="s">
        <v>365</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346</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347</v>
      </c>
      <c r="E117" s="72"/>
      <c r="F117" s="43" t="s">
        <v>178</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346</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353</v>
      </c>
      <c r="E119" s="71">
        <v>1070</v>
      </c>
      <c r="F119" s="43" t="s">
        <v>490</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346</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363</v>
      </c>
      <c r="E121" s="71">
        <v>1060</v>
      </c>
      <c r="F121" s="43" t="s">
        <v>500</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346</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369</v>
      </c>
      <c r="E123" s="71">
        <v>1060</v>
      </c>
      <c r="F123" s="43" t="s">
        <v>370</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346</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91</v>
      </c>
      <c r="E125" s="72"/>
      <c r="F125" s="43" t="s">
        <v>92</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346</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93</v>
      </c>
      <c r="E127" s="72"/>
      <c r="F127" s="43" t="s">
        <v>94</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346</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95</v>
      </c>
      <c r="E129" s="72"/>
      <c r="F129" s="43" t="s">
        <v>96</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346</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354</v>
      </c>
      <c r="E131" s="71" t="s">
        <v>195</v>
      </c>
      <c r="F131" s="43" t="s">
        <v>491</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346</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355</v>
      </c>
      <c r="E133" s="71" t="s">
        <v>195</v>
      </c>
      <c r="F133" s="43" t="s">
        <v>492</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346</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356</v>
      </c>
      <c r="E135" s="71" t="s">
        <v>195</v>
      </c>
      <c r="F135" s="43" t="s">
        <v>493</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346</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357</v>
      </c>
      <c r="E137" s="71" t="s">
        <v>195</v>
      </c>
      <c r="F137" s="43" t="s">
        <v>494</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346</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358</v>
      </c>
      <c r="E139" s="73"/>
      <c r="F139" s="43" t="s">
        <v>495</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346</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359</v>
      </c>
      <c r="E141" s="71" t="s">
        <v>195</v>
      </c>
      <c r="F141" s="43" t="s">
        <v>496</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346</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360</v>
      </c>
      <c r="E143" s="71" t="s">
        <v>195</v>
      </c>
      <c r="F143" s="43" t="s">
        <v>497</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346</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361</v>
      </c>
      <c r="E145" s="71" t="s">
        <v>195</v>
      </c>
      <c r="F145" s="43" t="s">
        <v>498</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346</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108</v>
      </c>
      <c r="E147" s="71" t="s">
        <v>76</v>
      </c>
      <c r="F147" s="43" t="s">
        <v>510</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346</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350</v>
      </c>
      <c r="E149" s="71" t="s">
        <v>194</v>
      </c>
      <c r="F149" s="45" t="s">
        <v>488</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351</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368</v>
      </c>
      <c r="E151" s="71" t="s">
        <v>76</v>
      </c>
      <c r="F151" s="43" t="s">
        <v>504</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346</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371</v>
      </c>
      <c r="E153" s="71" t="s">
        <v>193</v>
      </c>
      <c r="F153" s="43" t="s">
        <v>505</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351</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372</v>
      </c>
      <c r="E155" s="71" t="s">
        <v>77</v>
      </c>
      <c r="F155" s="75" t="s">
        <v>506</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373</v>
      </c>
      <c r="E156" s="71" t="s">
        <v>76</v>
      </c>
      <c r="F156" s="43" t="s">
        <v>507</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109</v>
      </c>
      <c r="E157" s="71" t="s">
        <v>76</v>
      </c>
      <c r="F157" s="43" t="s">
        <v>511</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351</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110</v>
      </c>
      <c r="E159" s="71" t="s">
        <v>76</v>
      </c>
      <c r="F159" s="43" t="s">
        <v>512</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351</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106</v>
      </c>
      <c r="E161" s="71">
        <v>1060</v>
      </c>
      <c r="F161" s="76" t="s">
        <v>508</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107</v>
      </c>
      <c r="E162" s="71" t="s">
        <v>193</v>
      </c>
      <c r="F162" s="76" t="s">
        <v>509</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366</v>
      </c>
      <c r="E163" s="71" t="s">
        <v>75</v>
      </c>
      <c r="F163" s="43" t="s">
        <v>367</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351</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400</v>
      </c>
      <c r="D165" s="23"/>
      <c r="E165" s="23"/>
      <c r="F165" s="22" t="s">
        <v>279</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401</v>
      </c>
      <c r="D166" s="23"/>
      <c r="E166" s="23"/>
      <c r="F166" s="22" t="s">
        <v>279</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236</v>
      </c>
      <c r="C167" s="17" t="s">
        <v>402</v>
      </c>
      <c r="D167" s="17" t="s">
        <v>230</v>
      </c>
      <c r="E167" s="17" t="s">
        <v>225</v>
      </c>
      <c r="F167" s="12" t="s">
        <v>443</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100</v>
      </c>
      <c r="D168" s="17" t="s">
        <v>97</v>
      </c>
      <c r="E168" s="17"/>
      <c r="F168" s="12" t="s">
        <v>99</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346</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101</v>
      </c>
      <c r="D170" s="17" t="s">
        <v>98</v>
      </c>
      <c r="E170" s="17"/>
      <c r="F170" s="12" t="s">
        <v>102</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346</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403</v>
      </c>
      <c r="D172" s="16" t="s">
        <v>35</v>
      </c>
      <c r="E172" s="16"/>
      <c r="F172" s="13" t="s">
        <v>36</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404</v>
      </c>
      <c r="D173" s="17" t="s">
        <v>280</v>
      </c>
      <c r="E173" s="17" t="s">
        <v>39</v>
      </c>
      <c r="F173" s="12" t="s">
        <v>513</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281</v>
      </c>
      <c r="E174" s="17" t="s">
        <v>39</v>
      </c>
      <c r="F174" s="12" t="s">
        <v>40</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405</v>
      </c>
      <c r="D175" s="17" t="s">
        <v>37</v>
      </c>
      <c r="E175" s="17" t="s">
        <v>41</v>
      </c>
      <c r="F175" s="12" t="s">
        <v>514</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406</v>
      </c>
      <c r="D176" s="17" t="s">
        <v>38</v>
      </c>
      <c r="E176" s="17" t="s">
        <v>41</v>
      </c>
      <c r="F176" s="12" t="s">
        <v>90</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245</v>
      </c>
      <c r="E177" s="16"/>
      <c r="F177" s="10" t="s">
        <v>246</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233</v>
      </c>
      <c r="E178" s="17" t="s">
        <v>78</v>
      </c>
      <c r="F178" s="20" t="s">
        <v>466</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407</v>
      </c>
      <c r="D179" s="16" t="s">
        <v>42</v>
      </c>
      <c r="E179" s="16"/>
      <c r="F179" s="13" t="s">
        <v>43</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408</v>
      </c>
      <c r="D180" s="17" t="s">
        <v>44</v>
      </c>
      <c r="E180" s="17" t="s">
        <v>45</v>
      </c>
      <c r="F180" s="12" t="s">
        <v>282</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409</v>
      </c>
      <c r="D181" s="17" t="s">
        <v>503</v>
      </c>
      <c r="E181" s="17" t="s">
        <v>79</v>
      </c>
      <c r="F181" s="12" t="s">
        <v>181</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410</v>
      </c>
      <c r="D182" s="16" t="s">
        <v>283</v>
      </c>
      <c r="E182" s="16"/>
      <c r="F182" s="13" t="s">
        <v>182</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411</v>
      </c>
      <c r="D183" s="17" t="s">
        <v>284</v>
      </c>
      <c r="E183" s="17" t="s">
        <v>46</v>
      </c>
      <c r="F183" s="12" t="s">
        <v>515</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335</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412</v>
      </c>
      <c r="D185" s="17" t="s">
        <v>285</v>
      </c>
      <c r="E185" s="17" t="s">
        <v>46</v>
      </c>
      <c r="F185" s="12" t="s">
        <v>516</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336</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413</v>
      </c>
      <c r="D187" s="16" t="s">
        <v>47</v>
      </c>
      <c r="E187" s="16"/>
      <c r="F187" s="13" t="s">
        <v>216</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414</v>
      </c>
      <c r="D188" s="17" t="s">
        <v>286</v>
      </c>
      <c r="E188" s="17" t="s">
        <v>48</v>
      </c>
      <c r="F188" s="12" t="s">
        <v>517</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415</v>
      </c>
      <c r="D189" s="17" t="s">
        <v>287</v>
      </c>
      <c r="E189" s="17" t="s">
        <v>49</v>
      </c>
      <c r="F189" s="12" t="s">
        <v>288</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416</v>
      </c>
      <c r="D190" s="17" t="s">
        <v>289</v>
      </c>
      <c r="E190" s="17" t="s">
        <v>50</v>
      </c>
      <c r="F190" s="12" t="s">
        <v>51</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417</v>
      </c>
      <c r="D191" s="17" t="s">
        <v>290</v>
      </c>
      <c r="E191" s="17" t="s">
        <v>53</v>
      </c>
      <c r="F191" s="12" t="s">
        <v>52</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418</v>
      </c>
      <c r="D192" s="21"/>
      <c r="E192" s="21"/>
      <c r="F192" s="22" t="s">
        <v>291</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419</v>
      </c>
      <c r="D193" s="21"/>
      <c r="E193" s="21"/>
      <c r="F193" s="22" t="s">
        <v>291</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236</v>
      </c>
      <c r="C194" s="17" t="s">
        <v>420</v>
      </c>
      <c r="D194" s="17" t="s">
        <v>230</v>
      </c>
      <c r="E194" s="17" t="s">
        <v>225</v>
      </c>
      <c r="F194" s="12" t="s">
        <v>443</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421</v>
      </c>
      <c r="D195" s="17" t="s">
        <v>252</v>
      </c>
      <c r="E195" s="17" t="s">
        <v>192</v>
      </c>
      <c r="F195" s="20" t="s">
        <v>448</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422</v>
      </c>
      <c r="D196" s="17" t="s">
        <v>253</v>
      </c>
      <c r="E196" s="17" t="s">
        <v>80</v>
      </c>
      <c r="F196" s="20" t="s">
        <v>468</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423</v>
      </c>
      <c r="D197" s="74" t="s">
        <v>372</v>
      </c>
      <c r="E197" s="17" t="s">
        <v>77</v>
      </c>
      <c r="F197" s="75" t="s">
        <v>506</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425</v>
      </c>
      <c r="D198" s="17" t="s">
        <v>25</v>
      </c>
      <c r="E198" s="17" t="s">
        <v>82</v>
      </c>
      <c r="F198" s="20" t="s">
        <v>518</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424</v>
      </c>
      <c r="D199" s="17" t="s">
        <v>38</v>
      </c>
      <c r="E199" s="17" t="s">
        <v>81</v>
      </c>
      <c r="F199" s="12" t="s">
        <v>90</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426</v>
      </c>
      <c r="D200" s="17" t="s">
        <v>233</v>
      </c>
      <c r="E200" s="17" t="s">
        <v>78</v>
      </c>
      <c r="F200" s="20" t="s">
        <v>466</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427</v>
      </c>
      <c r="D201" s="17" t="s">
        <v>267</v>
      </c>
      <c r="E201" s="17">
        <v>921</v>
      </c>
      <c r="F201" s="20" t="s">
        <v>519</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428</v>
      </c>
      <c r="D202" s="17" t="s">
        <v>503</v>
      </c>
      <c r="E202" s="17">
        <v>456</v>
      </c>
      <c r="F202" s="12" t="s">
        <v>181</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429</v>
      </c>
      <c r="D203" s="17" t="s">
        <v>248</v>
      </c>
      <c r="E203" s="17" t="s">
        <v>303</v>
      </c>
      <c r="F203" s="20" t="s">
        <v>278</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337</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467</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338</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228</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430</v>
      </c>
      <c r="D208" s="21"/>
      <c r="E208" s="21"/>
      <c r="F208" s="22" t="s">
        <v>292</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431</v>
      </c>
      <c r="D209" s="21"/>
      <c r="E209" s="21"/>
      <c r="F209" s="22" t="s">
        <v>292</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236</v>
      </c>
      <c r="C210" s="17" t="s">
        <v>432</v>
      </c>
      <c r="D210" s="17" t="s">
        <v>230</v>
      </c>
      <c r="E210" s="17" t="s">
        <v>225</v>
      </c>
      <c r="F210" s="12" t="s">
        <v>443</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248</v>
      </c>
      <c r="E211" s="17" t="s">
        <v>303</v>
      </c>
      <c r="F211" s="20" t="s">
        <v>278</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339</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340</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341</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342</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343</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211</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183</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180</v>
      </c>
      <c r="E219" s="16" t="s">
        <v>232</v>
      </c>
      <c r="F219" s="10" t="s">
        <v>169</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434</v>
      </c>
      <c r="D220" s="23"/>
      <c r="E220" s="23"/>
      <c r="F220" s="22" t="s">
        <v>433</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435</v>
      </c>
      <c r="D221" s="23"/>
      <c r="E221" s="23"/>
      <c r="F221" s="22" t="s">
        <v>433</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236</v>
      </c>
      <c r="C222" s="17" t="s">
        <v>436</v>
      </c>
      <c r="D222" s="17" t="s">
        <v>230</v>
      </c>
      <c r="E222" s="17" t="s">
        <v>225</v>
      </c>
      <c r="F222" s="12" t="s">
        <v>443</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438</v>
      </c>
      <c r="D223" s="17" t="s">
        <v>248</v>
      </c>
      <c r="E223" s="17" t="s">
        <v>84</v>
      </c>
      <c r="F223" s="20" t="s">
        <v>278</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184</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437</v>
      </c>
      <c r="D225" s="17" t="s">
        <v>293</v>
      </c>
      <c r="E225" s="17" t="s">
        <v>83</v>
      </c>
      <c r="F225" s="12" t="s">
        <v>54</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439</v>
      </c>
      <c r="D226" s="23"/>
      <c r="E226" s="23"/>
      <c r="F226" s="22" t="s">
        <v>294</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440</v>
      </c>
      <c r="D227" s="23"/>
      <c r="E227" s="23"/>
      <c r="F227" s="22" t="s">
        <v>294</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441</v>
      </c>
      <c r="D228" s="17" t="s">
        <v>295</v>
      </c>
      <c r="E228" s="17" t="s">
        <v>55</v>
      </c>
      <c r="F228" s="12" t="s">
        <v>56</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442</v>
      </c>
      <c r="D229" s="17" t="s">
        <v>87</v>
      </c>
      <c r="E229" s="17" t="s">
        <v>88</v>
      </c>
      <c r="F229" s="30" t="s">
        <v>520</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329</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212</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237</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49" t="s">
        <v>327</v>
      </c>
      <c r="D237" s="250"/>
      <c r="E237" s="250"/>
      <c r="F237" s="250"/>
      <c r="G237" s="250"/>
      <c r="H237" s="32"/>
      <c r="I237" s="32"/>
      <c r="J237" s="32"/>
      <c r="K237" s="32"/>
      <c r="L237" s="32"/>
      <c r="M237" s="32"/>
      <c r="N237" s="32"/>
      <c r="O237" s="32"/>
      <c r="P237" s="32"/>
      <c r="Q237" s="32"/>
      <c r="R237" s="32"/>
      <c r="S237" s="32"/>
      <c r="T237" s="32"/>
      <c r="U237" s="32"/>
      <c r="V237" s="32"/>
      <c r="W237" s="32" t="s">
        <v>328</v>
      </c>
    </row>
    <row r="238" spans="1:6" ht="12.75">
      <c r="A238" s="48"/>
      <c r="B238" s="48"/>
      <c r="D238" s="48"/>
      <c r="E238" s="48"/>
      <c r="F238" s="48"/>
    </row>
    <row r="240" ht="12.75">
      <c r="F240" s="2"/>
    </row>
  </sheetData>
  <sheetProtection/>
  <mergeCells count="30">
    <mergeCell ref="M6:M8"/>
    <mergeCell ref="C237:G237"/>
    <mergeCell ref="B1:W1"/>
    <mergeCell ref="S2:X2"/>
    <mergeCell ref="B3:W3"/>
    <mergeCell ref="B5:B8"/>
    <mergeCell ref="D5:D8"/>
    <mergeCell ref="E5:E8"/>
    <mergeCell ref="F5:F8"/>
    <mergeCell ref="G6:G8"/>
    <mergeCell ref="H6:H8"/>
    <mergeCell ref="W5:W8"/>
    <mergeCell ref="P7:P8"/>
    <mergeCell ref="Q7:Q8"/>
    <mergeCell ref="R7:R8"/>
    <mergeCell ref="S7:S8"/>
    <mergeCell ref="U7:U8"/>
    <mergeCell ref="N5:V5"/>
    <mergeCell ref="N6:N8"/>
    <mergeCell ref="O6:O8"/>
    <mergeCell ref="C5:C8"/>
    <mergeCell ref="P6:S6"/>
    <mergeCell ref="T6:T8"/>
    <mergeCell ref="U6:V6"/>
    <mergeCell ref="I7:I8"/>
    <mergeCell ref="J7:J8"/>
    <mergeCell ref="K7:K8"/>
    <mergeCell ref="L7:L8"/>
    <mergeCell ref="G5:M5"/>
    <mergeCell ref="I6:L6"/>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52" t="s">
        <v>105</v>
      </c>
      <c r="C1" s="252"/>
      <c r="D1" s="252"/>
    </row>
    <row r="2" ht="18" customHeight="1" hidden="1">
      <c r="C2" s="91"/>
    </row>
    <row r="3" spans="3:9" ht="18" customHeight="1" hidden="1">
      <c r="C3" s="91"/>
      <c r="I3" s="92"/>
    </row>
    <row r="4" ht="18" customHeight="1"/>
    <row r="5" spans="1:3" ht="56.25" customHeight="1">
      <c r="A5" s="261" t="s">
        <v>196</v>
      </c>
      <c r="B5" s="261"/>
      <c r="C5" s="261"/>
    </row>
    <row r="6" spans="1:3" ht="9" customHeight="1">
      <c r="A6" s="262"/>
      <c r="B6" s="262"/>
      <c r="C6" s="262"/>
    </row>
    <row r="7" spans="1:3" ht="49.5" customHeight="1">
      <c r="A7" s="112" t="s">
        <v>215</v>
      </c>
      <c r="B7" s="112" t="s">
        <v>197</v>
      </c>
      <c r="C7" s="112" t="s">
        <v>74</v>
      </c>
    </row>
    <row r="8" spans="1:3" ht="44.25" customHeight="1">
      <c r="A8" s="108" t="s">
        <v>198</v>
      </c>
      <c r="B8" s="94" t="s">
        <v>208</v>
      </c>
      <c r="C8" s="109" t="s">
        <v>199</v>
      </c>
    </row>
    <row r="9" spans="1:3" ht="56.25">
      <c r="A9" s="259" t="s">
        <v>200</v>
      </c>
      <c r="B9" s="263" t="s">
        <v>209</v>
      </c>
      <c r="C9" s="109" t="s">
        <v>201</v>
      </c>
    </row>
    <row r="10" spans="1:3" ht="81" customHeight="1">
      <c r="A10" s="259"/>
      <c r="B10" s="263"/>
      <c r="C10" s="109" t="s">
        <v>202</v>
      </c>
    </row>
    <row r="11" spans="1:3" ht="57.75" customHeight="1">
      <c r="A11" s="108" t="s">
        <v>203</v>
      </c>
      <c r="B11" s="94" t="s">
        <v>210</v>
      </c>
      <c r="C11" s="109" t="s">
        <v>204</v>
      </c>
    </row>
    <row r="12" spans="1:3" ht="57" customHeight="1">
      <c r="A12" s="259" t="s">
        <v>205</v>
      </c>
      <c r="B12" s="258" t="s">
        <v>207</v>
      </c>
      <c r="C12" s="110" t="s">
        <v>57</v>
      </c>
    </row>
    <row r="13" spans="1:3" ht="75" customHeight="1">
      <c r="A13" s="259"/>
      <c r="B13" s="258"/>
      <c r="C13" s="109" t="s">
        <v>59</v>
      </c>
    </row>
    <row r="14" spans="1:3" ht="54.75" customHeight="1">
      <c r="A14" s="259" t="s">
        <v>205</v>
      </c>
      <c r="B14" s="258" t="s">
        <v>60</v>
      </c>
      <c r="C14" s="110" t="s">
        <v>61</v>
      </c>
    </row>
    <row r="15" spans="1:3" ht="87.75" customHeight="1">
      <c r="A15" s="259"/>
      <c r="B15" s="258"/>
      <c r="C15" s="109" t="s">
        <v>59</v>
      </c>
    </row>
    <row r="16" spans="1:3" ht="54.75" customHeight="1">
      <c r="A16" s="259" t="s">
        <v>62</v>
      </c>
      <c r="B16" s="260" t="s">
        <v>214</v>
      </c>
      <c r="C16" s="109" t="s">
        <v>61</v>
      </c>
    </row>
    <row r="17" spans="1:3" ht="72.75" customHeight="1">
      <c r="A17" s="259"/>
      <c r="B17" s="260"/>
      <c r="C17" s="109" t="s">
        <v>202</v>
      </c>
    </row>
    <row r="18" spans="1:3" ht="45.75" customHeight="1">
      <c r="A18" s="108" t="s">
        <v>63</v>
      </c>
      <c r="B18" s="95" t="s">
        <v>64</v>
      </c>
      <c r="C18" s="109" t="s">
        <v>204</v>
      </c>
    </row>
    <row r="19" spans="1:3" ht="62.25" customHeight="1">
      <c r="A19" s="259" t="s">
        <v>65</v>
      </c>
      <c r="B19" s="260" t="s">
        <v>66</v>
      </c>
      <c r="C19" s="109" t="s">
        <v>61</v>
      </c>
    </row>
    <row r="20" spans="1:3" ht="75">
      <c r="A20" s="259"/>
      <c r="B20" s="260"/>
      <c r="C20" s="109" t="s">
        <v>202</v>
      </c>
    </row>
    <row r="21" spans="1:3" ht="37.5" hidden="1">
      <c r="A21" s="108" t="s">
        <v>67</v>
      </c>
      <c r="B21" s="95" t="s">
        <v>68</v>
      </c>
      <c r="C21" s="109"/>
    </row>
    <row r="22" spans="1:3" ht="18.75" hidden="1">
      <c r="A22" s="108"/>
      <c r="B22" s="96" t="s">
        <v>69</v>
      </c>
      <c r="C22" s="109"/>
    </row>
    <row r="23" spans="1:3" ht="56.25" hidden="1">
      <c r="A23" s="108"/>
      <c r="B23" s="97" t="s">
        <v>70</v>
      </c>
      <c r="C23" s="109" t="s">
        <v>72</v>
      </c>
    </row>
    <row r="24" spans="1:3" ht="56.25" hidden="1">
      <c r="A24" s="108"/>
      <c r="B24" s="97" t="s">
        <v>73</v>
      </c>
      <c r="C24" s="109" t="s">
        <v>72</v>
      </c>
    </row>
    <row r="25" spans="1:3" ht="37.5" hidden="1">
      <c r="A25" s="108"/>
      <c r="B25" s="97" t="s">
        <v>307</v>
      </c>
      <c r="C25" s="109" t="s">
        <v>308</v>
      </c>
    </row>
    <row r="26" spans="1:3" ht="21.75" customHeight="1" hidden="1">
      <c r="A26" s="108"/>
      <c r="B26" s="97" t="s">
        <v>69</v>
      </c>
      <c r="C26" s="109"/>
    </row>
    <row r="27" spans="1:3" ht="75" hidden="1">
      <c r="A27" s="108"/>
      <c r="B27" s="96" t="s">
        <v>309</v>
      </c>
      <c r="C27" s="109" t="s">
        <v>310</v>
      </c>
    </row>
    <row r="28" spans="1:3" ht="120.75" customHeight="1" hidden="1">
      <c r="A28" s="108"/>
      <c r="B28" s="96" t="s">
        <v>311</v>
      </c>
      <c r="C28" s="109" t="s">
        <v>312</v>
      </c>
    </row>
    <row r="29" spans="1:3" ht="60.75" customHeight="1" hidden="1">
      <c r="A29" s="108"/>
      <c r="B29" s="97" t="s">
        <v>313</v>
      </c>
      <c r="C29" s="109" t="s">
        <v>314</v>
      </c>
    </row>
    <row r="30" spans="1:3" ht="80.25" customHeight="1" hidden="1">
      <c r="A30" s="108"/>
      <c r="B30" s="97" t="s">
        <v>315</v>
      </c>
      <c r="C30" s="109" t="s">
        <v>312</v>
      </c>
    </row>
    <row r="31" spans="1:3" ht="56.25" hidden="1">
      <c r="A31" s="108"/>
      <c r="B31" s="98" t="s">
        <v>316</v>
      </c>
      <c r="C31" s="109" t="s">
        <v>317</v>
      </c>
    </row>
    <row r="32" spans="1:3" ht="56.25" hidden="1">
      <c r="A32" s="108"/>
      <c r="B32" s="99" t="s">
        <v>318</v>
      </c>
      <c r="C32" s="109" t="s">
        <v>319</v>
      </c>
    </row>
    <row r="33" spans="1:3" ht="93.75" hidden="1">
      <c r="A33" s="108"/>
      <c r="B33" s="99" t="s">
        <v>321</v>
      </c>
      <c r="C33" s="111" t="s">
        <v>322</v>
      </c>
    </row>
    <row r="34" spans="1:3" ht="75" hidden="1">
      <c r="A34" s="108" t="s">
        <v>323</v>
      </c>
      <c r="B34" s="95" t="s">
        <v>213</v>
      </c>
      <c r="C34" s="109" t="s">
        <v>308</v>
      </c>
    </row>
    <row r="35" spans="1:4" ht="55.5" customHeight="1">
      <c r="A35" s="108" t="s">
        <v>324</v>
      </c>
      <c r="B35" s="257" t="s">
        <v>325</v>
      </c>
      <c r="C35" s="110" t="s">
        <v>61</v>
      </c>
      <c r="D35" s="100"/>
    </row>
    <row r="36" spans="1:4" ht="81" customHeight="1">
      <c r="A36" s="108" t="s">
        <v>326</v>
      </c>
      <c r="B36" s="258"/>
      <c r="C36" s="109" t="s">
        <v>59</v>
      </c>
      <c r="D36" s="101"/>
    </row>
    <row r="37" spans="1:4" ht="65.25" customHeight="1">
      <c r="A37" s="102"/>
      <c r="B37" s="103"/>
      <c r="C37" s="104"/>
      <c r="D37" s="105"/>
    </row>
    <row r="38" spans="1:12" s="8" customFormat="1" ht="12.75" customHeight="1">
      <c r="A38" s="25" t="s">
        <v>327</v>
      </c>
      <c r="B38" s="26"/>
      <c r="C38" s="117" t="s">
        <v>328</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A9:A10"/>
    <mergeCell ref="B9:B10"/>
    <mergeCell ref="A12:A13"/>
    <mergeCell ref="B12:B13"/>
    <mergeCell ref="B35:B36"/>
    <mergeCell ref="B1:D1"/>
    <mergeCell ref="A14:A15"/>
    <mergeCell ref="B14:B15"/>
    <mergeCell ref="A16:A17"/>
    <mergeCell ref="B16:B17"/>
    <mergeCell ref="A19:A20"/>
    <mergeCell ref="B19:B20"/>
    <mergeCell ref="A5:C5"/>
    <mergeCell ref="A6:C6"/>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X86"/>
  <sheetViews>
    <sheetView tabSelected="1" view="pageBreakPreview" zoomScale="75" zoomScaleNormal="75" zoomScaleSheetLayoutView="75" zoomScalePageLayoutView="0" workbookViewId="0" topLeftCell="A4">
      <pane xSplit="3" ySplit="3" topLeftCell="D7" activePane="bottomRight" state="frozen"/>
      <selection pane="topLeft" activeCell="A4" sqref="A4"/>
      <selection pane="topRight" activeCell="D4" sqref="D4"/>
      <selection pane="bottomLeft" activeCell="A7" sqref="A7"/>
      <selection pane="bottomRight" activeCell="A6" sqref="A6:J6"/>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8" width="24.5" style="128" customWidth="1"/>
    <col min="9" max="9" width="24.5" style="128" hidden="1" customWidth="1"/>
    <col min="10" max="11" width="24.5" style="128" customWidth="1"/>
    <col min="12" max="12" width="20.66015625" style="128" hidden="1" customWidth="1"/>
    <col min="13" max="13" width="20.33203125" style="128" hidden="1" customWidth="1"/>
    <col min="14" max="14" width="19.33203125" style="128" hidden="1" customWidth="1"/>
    <col min="15" max="15" width="19.5" style="128" hidden="1" customWidth="1"/>
    <col min="16" max="16" width="20.83203125" style="128" hidden="1" customWidth="1"/>
    <col min="17" max="17" width="20.5" style="128" hidden="1" customWidth="1"/>
    <col min="18" max="18" width="18.83203125" style="128" hidden="1" customWidth="1"/>
    <col min="19" max="19" width="19" style="128" hidden="1" customWidth="1"/>
    <col min="20" max="20" width="20.66015625" style="128" hidden="1" customWidth="1"/>
    <col min="21" max="21" width="19.5" style="128" hidden="1" customWidth="1"/>
    <col min="22" max="22" width="20.5" style="128" hidden="1" customWidth="1"/>
    <col min="23" max="23" width="18.83203125" style="128" hidden="1" customWidth="1"/>
    <col min="24" max="24" width="22.16015625" style="128" hidden="1" customWidth="1"/>
    <col min="25" max="27" width="0" style="128" hidden="1" customWidth="1"/>
    <col min="28" max="16384" width="9.33203125" style="128" customWidth="1"/>
  </cols>
  <sheetData>
    <row r="1" spans="1:11" ht="26.25" customHeight="1">
      <c r="A1" s="264" t="s">
        <v>477</v>
      </c>
      <c r="B1" s="264"/>
      <c r="C1" s="264"/>
      <c r="D1" s="264"/>
      <c r="E1" s="264"/>
      <c r="F1" s="264"/>
      <c r="G1" s="264"/>
      <c r="H1" s="264"/>
      <c r="I1" s="190"/>
      <c r="J1" s="190"/>
      <c r="K1" s="190"/>
    </row>
    <row r="2" spans="1:11" ht="28.5" customHeight="1">
      <c r="A2" s="265" t="s">
        <v>478</v>
      </c>
      <c r="B2" s="265"/>
      <c r="C2" s="265"/>
      <c r="D2" s="265"/>
      <c r="E2" s="265"/>
      <c r="F2" s="265"/>
      <c r="G2" s="265"/>
      <c r="H2" s="265"/>
      <c r="I2" s="191"/>
      <c r="J2" s="191"/>
      <c r="K2" s="191"/>
    </row>
    <row r="3" spans="3:11" ht="18.75">
      <c r="C3" s="146"/>
      <c r="D3" s="129"/>
      <c r="E3" s="147"/>
      <c r="G3" s="148" t="s">
        <v>479</v>
      </c>
      <c r="J3" s="208"/>
      <c r="K3" s="211"/>
    </row>
    <row r="4" spans="1:20" ht="18.75">
      <c r="A4" s="269" t="s">
        <v>469</v>
      </c>
      <c r="B4" s="156"/>
      <c r="C4" s="269" t="s">
        <v>471</v>
      </c>
      <c r="D4" s="267" t="s">
        <v>472</v>
      </c>
      <c r="E4" s="267" t="s">
        <v>217</v>
      </c>
      <c r="F4" s="267" t="s">
        <v>218</v>
      </c>
      <c r="G4" s="132" t="s">
        <v>222</v>
      </c>
      <c r="H4" s="266" t="s">
        <v>71</v>
      </c>
      <c r="I4" s="266" t="s">
        <v>320</v>
      </c>
      <c r="J4" s="275" t="s">
        <v>545</v>
      </c>
      <c r="K4" s="212"/>
      <c r="R4" s="184" t="s">
        <v>163</v>
      </c>
      <c r="S4" s="180" t="s">
        <v>164</v>
      </c>
      <c r="T4" s="182" t="s">
        <v>165</v>
      </c>
    </row>
    <row r="5" spans="1:24" ht="75.75" customHeight="1">
      <c r="A5" s="269"/>
      <c r="B5" s="9" t="s">
        <v>470</v>
      </c>
      <c r="C5" s="269"/>
      <c r="D5" s="267"/>
      <c r="E5" s="267"/>
      <c r="F5" s="267"/>
      <c r="G5" s="149" t="s">
        <v>231</v>
      </c>
      <c r="H5" s="266"/>
      <c r="I5" s="266"/>
      <c r="J5" s="276"/>
      <c r="K5" s="219"/>
      <c r="L5" s="159" t="s">
        <v>206</v>
      </c>
      <c r="M5" s="186" t="s">
        <v>152</v>
      </c>
      <c r="N5" s="186" t="s">
        <v>153</v>
      </c>
      <c r="O5" s="186" t="s">
        <v>154</v>
      </c>
      <c r="P5" s="186" t="s">
        <v>155</v>
      </c>
      <c r="Q5" s="186" t="s">
        <v>156</v>
      </c>
      <c r="R5" s="186" t="s">
        <v>157</v>
      </c>
      <c r="S5" s="186" t="s">
        <v>158</v>
      </c>
      <c r="T5" s="186" t="s">
        <v>159</v>
      </c>
      <c r="U5" s="186" t="s">
        <v>160</v>
      </c>
      <c r="V5" s="186" t="s">
        <v>161</v>
      </c>
      <c r="W5" s="186" t="s">
        <v>162</v>
      </c>
      <c r="X5" s="186" t="s">
        <v>219</v>
      </c>
    </row>
    <row r="6" spans="1:12" s="131" customFormat="1" ht="25.5" customHeight="1">
      <c r="A6" s="270" t="s">
        <v>480</v>
      </c>
      <c r="B6" s="271"/>
      <c r="C6" s="271"/>
      <c r="D6" s="271"/>
      <c r="E6" s="271"/>
      <c r="F6" s="271"/>
      <c r="G6" s="271"/>
      <c r="H6" s="271"/>
      <c r="I6" s="273"/>
      <c r="J6" s="274"/>
      <c r="K6" s="213"/>
      <c r="L6" s="228"/>
    </row>
    <row r="7" spans="1:24" ht="37.5" customHeight="1">
      <c r="A7" s="150">
        <v>1</v>
      </c>
      <c r="B7" s="169"/>
      <c r="C7" s="151" t="s">
        <v>481</v>
      </c>
      <c r="D7" s="152">
        <f>D8+D15</f>
        <v>34835662.52</v>
      </c>
      <c r="E7" s="152">
        <f>E8+E15</f>
        <v>13200000</v>
      </c>
      <c r="F7" s="152">
        <f>F8+F15</f>
        <v>21635662.520000003</v>
      </c>
      <c r="G7" s="152">
        <f>G8+G15</f>
        <v>17916888.870000005</v>
      </c>
      <c r="H7" s="175">
        <f>H8+H15</f>
        <v>11226101.41</v>
      </c>
      <c r="I7" s="175">
        <f>I9+I12</f>
        <v>2854164.48</v>
      </c>
      <c r="J7" s="227">
        <f>H7/(M7+N7+O7+P7+Q7+R7+S7+T7)*100</f>
        <v>40.67143596088588</v>
      </c>
      <c r="K7" s="218"/>
      <c r="L7" s="220">
        <f>M7+N7+O7+P7+Q7+R7+S7+T7-H7</f>
        <v>16375828.900000002</v>
      </c>
      <c r="M7" s="192">
        <f>M8+M15</f>
        <v>1686888.87</v>
      </c>
      <c r="N7" s="152">
        <f aca="true" t="shared" si="0" ref="N7:W7">N8+N15</f>
        <v>450000</v>
      </c>
      <c r="O7" s="152">
        <f t="shared" si="0"/>
        <v>1900000</v>
      </c>
      <c r="P7" s="152">
        <f t="shared" si="0"/>
        <v>4480000</v>
      </c>
      <c r="Q7" s="152">
        <f t="shared" si="0"/>
        <v>2368773.65</v>
      </c>
      <c r="R7" s="152">
        <f t="shared" si="0"/>
        <v>3700000</v>
      </c>
      <c r="S7" s="152">
        <f t="shared" si="0"/>
        <v>5326000</v>
      </c>
      <c r="T7" s="152">
        <f>T8+T15</f>
        <v>7690267.79</v>
      </c>
      <c r="U7" s="152">
        <f t="shared" si="0"/>
        <v>5009732.21</v>
      </c>
      <c r="V7" s="152">
        <f t="shared" si="0"/>
        <v>1800000</v>
      </c>
      <c r="W7" s="152">
        <f t="shared" si="0"/>
        <v>424000</v>
      </c>
      <c r="X7" s="152">
        <f>X8+X15</f>
        <v>34835662.52</v>
      </c>
    </row>
    <row r="8" spans="1:24" ht="18.75">
      <c r="A8" s="133" t="s">
        <v>473</v>
      </c>
      <c r="B8" s="134"/>
      <c r="C8" s="153" t="s">
        <v>482</v>
      </c>
      <c r="D8" s="154">
        <f>D9+D13+D14+D12</f>
        <v>15050000</v>
      </c>
      <c r="E8" s="154">
        <f>E9+E13+E14+E12</f>
        <v>13200000</v>
      </c>
      <c r="F8" s="154">
        <f>F9+F13+F14+F12</f>
        <v>1850000</v>
      </c>
      <c r="G8" s="154"/>
      <c r="H8" s="203">
        <f>H9+H13+H14+H12</f>
        <v>4665732.04</v>
      </c>
      <c r="I8" s="203"/>
      <c r="J8" s="214">
        <f>H8/(M8+N8+O8+P8+Q8+R8+S8+T8)*100</f>
        <v>43.80969051643193</v>
      </c>
      <c r="K8" s="215"/>
      <c r="L8" s="220">
        <f>M8+N8+O8+P8+Q8+R8+S8+T8-H8</f>
        <v>5984267.96</v>
      </c>
      <c r="M8" s="193">
        <f>M9+M12+M13+M14</f>
        <v>450000</v>
      </c>
      <c r="N8" s="183">
        <f>N9+N12+N13+N14</f>
        <v>450000</v>
      </c>
      <c r="O8" s="183">
        <f aca="true" t="shared" si="1" ref="O8:W8">O9+O12+O13+O14</f>
        <v>900000</v>
      </c>
      <c r="P8" s="183">
        <f>P9+P12+P13+P14</f>
        <v>950000</v>
      </c>
      <c r="Q8" s="183">
        <f t="shared" si="1"/>
        <v>950000</v>
      </c>
      <c r="R8" s="183">
        <f t="shared" si="1"/>
        <v>350000</v>
      </c>
      <c r="S8" s="183">
        <f t="shared" si="1"/>
        <v>2250000</v>
      </c>
      <c r="T8" s="183">
        <f t="shared" si="1"/>
        <v>4350000</v>
      </c>
      <c r="U8" s="183">
        <f t="shared" si="1"/>
        <v>3200000</v>
      </c>
      <c r="V8" s="183">
        <f t="shared" si="1"/>
        <v>1200000</v>
      </c>
      <c r="W8" s="183">
        <f t="shared" si="1"/>
        <v>0</v>
      </c>
      <c r="X8" s="183">
        <f>X9+X12+X13+X14</f>
        <v>15050000</v>
      </c>
    </row>
    <row r="9" spans="1:24" ht="37.5">
      <c r="A9" s="133"/>
      <c r="B9" s="134"/>
      <c r="C9" s="135" t="s">
        <v>58</v>
      </c>
      <c r="D9" s="155">
        <f>F9+E9</f>
        <v>4200000</v>
      </c>
      <c r="E9" s="155">
        <v>2500000</v>
      </c>
      <c r="F9" s="155">
        <v>1700000</v>
      </c>
      <c r="G9" s="156"/>
      <c r="H9" s="204">
        <f>145975.7+110885.5+10080+85250+418006.2+59549+45060.24+257580+19173.6+27739.2+228900+128332.85+24200+90350+637477.5+41115.6+3379.2+164649.5+344569.5</f>
        <v>2842273.5900000003</v>
      </c>
      <c r="I9" s="222">
        <f>637477.5+3379.2+164649.5+344569.5</f>
        <v>1150075.7</v>
      </c>
      <c r="J9" s="209">
        <f>H9/(M9+N9+O9+P9+Q9+R9+S9+T9)*100</f>
        <v>76.81820513513514</v>
      </c>
      <c r="K9" s="216"/>
      <c r="L9" s="221">
        <f>M9+N9+O9+P9+Q9+R9+S9+T9-H9</f>
        <v>857726.4099999997</v>
      </c>
      <c r="M9" s="210"/>
      <c r="N9" s="181"/>
      <c r="O9" s="179">
        <v>500000</v>
      </c>
      <c r="P9" s="179">
        <v>600000</v>
      </c>
      <c r="Q9" s="179">
        <v>600000</v>
      </c>
      <c r="R9" s="181"/>
      <c r="S9" s="184">
        <v>1200000</v>
      </c>
      <c r="T9" s="184">
        <v>800000</v>
      </c>
      <c r="U9" s="184">
        <v>500000</v>
      </c>
      <c r="V9" s="181"/>
      <c r="W9" s="181"/>
      <c r="X9" s="180">
        <f>SUM(M9:W9)</f>
        <v>4200000</v>
      </c>
    </row>
    <row r="10" spans="1:24" ht="18.75" customHeight="1" hidden="1">
      <c r="A10" s="133"/>
      <c r="B10" s="134"/>
      <c r="C10" s="157" t="s">
        <v>483</v>
      </c>
      <c r="D10" s="158"/>
      <c r="E10" s="158"/>
      <c r="F10" s="158"/>
      <c r="G10" s="156"/>
      <c r="H10" s="205"/>
      <c r="I10" s="223"/>
      <c r="J10" s="209" t="e">
        <f aca="true" t="shared" si="2" ref="J10:J33">H10/(M10+N10+O10+P10+Q10+R10+S10+T10)*100</f>
        <v>#DIV/0!</v>
      </c>
      <c r="K10" s="216"/>
      <c r="L10" s="221">
        <f aca="true" t="shared" si="3" ref="L10:L73">M10+N10+O10+P10+Q10+R10+S10+T10-H10</f>
        <v>0</v>
      </c>
      <c r="M10" s="194"/>
      <c r="N10" s="181"/>
      <c r="O10" s="179"/>
      <c r="P10" s="179"/>
      <c r="Q10" s="179"/>
      <c r="R10" s="181"/>
      <c r="S10" s="181"/>
      <c r="T10" s="181"/>
      <c r="U10" s="181"/>
      <c r="V10" s="181"/>
      <c r="W10" s="181"/>
      <c r="X10" s="180"/>
    </row>
    <row r="11" spans="1:24" ht="18.75" hidden="1">
      <c r="A11" s="133"/>
      <c r="B11" s="134"/>
      <c r="C11" s="157" t="s">
        <v>544</v>
      </c>
      <c r="D11" s="158">
        <f>E11</f>
        <v>0</v>
      </c>
      <c r="E11" s="158">
        <f>3000000-2576000-424000</f>
        <v>0</v>
      </c>
      <c r="F11" s="158"/>
      <c r="G11" s="156"/>
      <c r="H11" s="205"/>
      <c r="I11" s="223"/>
      <c r="J11" s="209" t="e">
        <f t="shared" si="2"/>
        <v>#DIV/0!</v>
      </c>
      <c r="K11" s="216"/>
      <c r="L11" s="221">
        <f t="shared" si="3"/>
        <v>0</v>
      </c>
      <c r="M11" s="195">
        <v>250000</v>
      </c>
      <c r="N11" s="184">
        <v>350000</v>
      </c>
      <c r="O11" s="184">
        <v>350000</v>
      </c>
      <c r="P11" s="184">
        <f>350000-1300000</f>
        <v>-950000</v>
      </c>
      <c r="Q11" s="184">
        <f>350000-350000</f>
        <v>0</v>
      </c>
      <c r="R11" s="184">
        <f>350000-350000</f>
        <v>0</v>
      </c>
      <c r="S11" s="184">
        <f>350000-76000-274000</f>
        <v>0</v>
      </c>
      <c r="T11" s="184">
        <f>350000-200000-150000</f>
        <v>0</v>
      </c>
      <c r="U11" s="184">
        <f>300000-300000</f>
        <v>0</v>
      </c>
      <c r="V11" s="184"/>
      <c r="W11" s="184"/>
      <c r="X11" s="184">
        <f aca="true" t="shared" si="4" ref="X11:X74">SUM(M11:W11)</f>
        <v>0</v>
      </c>
    </row>
    <row r="12" spans="1:24" ht="37.5">
      <c r="A12" s="133"/>
      <c r="B12" s="134"/>
      <c r="C12" s="135" t="s">
        <v>484</v>
      </c>
      <c r="D12" s="155">
        <f>E12</f>
        <v>10700000</v>
      </c>
      <c r="E12" s="155">
        <f>3500000+500000+6700000</f>
        <v>10700000</v>
      </c>
      <c r="F12" s="155"/>
      <c r="G12" s="156"/>
      <c r="H12" s="204">
        <f>241334.4+64578+48081+278935+170139+140867+147553+370203.6+242397.78</f>
        <v>1704088.78</v>
      </c>
      <c r="I12" s="204">
        <f>241334.4+64578+48081+278935+170139+140867+147553+370203.6+242397.78</f>
        <v>1704088.78</v>
      </c>
      <c r="J12" s="209">
        <f t="shared" si="2"/>
        <v>25.06012911764706</v>
      </c>
      <c r="K12" s="216"/>
      <c r="L12" s="221">
        <f t="shared" si="3"/>
        <v>5095911.22</v>
      </c>
      <c r="M12" s="195">
        <v>450000</v>
      </c>
      <c r="N12" s="184">
        <v>350000</v>
      </c>
      <c r="O12" s="184">
        <v>350000</v>
      </c>
      <c r="P12" s="184">
        <f>350000</f>
        <v>350000</v>
      </c>
      <c r="Q12" s="184">
        <v>350000</v>
      </c>
      <c r="R12" s="184">
        <v>350000</v>
      </c>
      <c r="S12" s="184">
        <f>350000+700000</f>
        <v>1050000</v>
      </c>
      <c r="T12" s="184">
        <f>350000+200000+3000000</f>
        <v>3550000</v>
      </c>
      <c r="U12" s="184">
        <f>400000+300000+2000000</f>
        <v>2700000</v>
      </c>
      <c r="V12" s="184">
        <f>200000+1000000</f>
        <v>1200000</v>
      </c>
      <c r="W12" s="184"/>
      <c r="X12" s="185">
        <f t="shared" si="4"/>
        <v>10700000</v>
      </c>
    </row>
    <row r="13" spans="1:24" ht="18.75">
      <c r="A13" s="133"/>
      <c r="B13" s="134"/>
      <c r="C13" s="135" t="s">
        <v>485</v>
      </c>
      <c r="D13" s="155">
        <v>100000</v>
      </c>
      <c r="E13" s="136"/>
      <c r="F13" s="155">
        <v>100000</v>
      </c>
      <c r="G13" s="156"/>
      <c r="H13" s="204">
        <v>98846.55</v>
      </c>
      <c r="I13" s="222"/>
      <c r="J13" s="209">
        <f t="shared" si="2"/>
        <v>98.84655</v>
      </c>
      <c r="K13" s="216"/>
      <c r="L13" s="221">
        <f t="shared" si="3"/>
        <v>1153.449999999997</v>
      </c>
      <c r="M13" s="194"/>
      <c r="N13" s="179">
        <f>100000</f>
        <v>100000</v>
      </c>
      <c r="O13" s="179">
        <f>100000-100000</f>
        <v>0</v>
      </c>
      <c r="P13" s="181"/>
      <c r="Q13" s="181"/>
      <c r="R13" s="181"/>
      <c r="S13" s="181"/>
      <c r="T13" s="181"/>
      <c r="U13" s="181"/>
      <c r="V13" s="181"/>
      <c r="W13" s="181"/>
      <c r="X13" s="180">
        <f t="shared" si="4"/>
        <v>100000</v>
      </c>
    </row>
    <row r="14" spans="1:24" ht="37.5">
      <c r="A14" s="133"/>
      <c r="B14" s="134"/>
      <c r="C14" s="135" t="s">
        <v>528</v>
      </c>
      <c r="D14" s="155">
        <v>50000</v>
      </c>
      <c r="E14" s="136"/>
      <c r="F14" s="155">
        <v>50000</v>
      </c>
      <c r="G14" s="156"/>
      <c r="H14" s="204">
        <v>20523.12</v>
      </c>
      <c r="I14" s="222"/>
      <c r="J14" s="209">
        <f t="shared" si="2"/>
        <v>41.04624</v>
      </c>
      <c r="K14" s="216"/>
      <c r="L14" s="221">
        <f t="shared" si="3"/>
        <v>29476.88</v>
      </c>
      <c r="M14" s="194"/>
      <c r="N14" s="181"/>
      <c r="O14" s="179">
        <v>50000</v>
      </c>
      <c r="P14" s="181"/>
      <c r="Q14" s="181"/>
      <c r="R14" s="181"/>
      <c r="S14" s="181"/>
      <c r="T14" s="181"/>
      <c r="U14" s="181"/>
      <c r="V14" s="181"/>
      <c r="W14" s="181"/>
      <c r="X14" s="180">
        <f t="shared" si="4"/>
        <v>50000</v>
      </c>
    </row>
    <row r="15" spans="1:24" ht="18.75">
      <c r="A15" s="133" t="s">
        <v>474</v>
      </c>
      <c r="B15" s="134"/>
      <c r="C15" s="159" t="s">
        <v>529</v>
      </c>
      <c r="D15" s="154">
        <f>SUM(D16:D34)</f>
        <v>19785662.520000003</v>
      </c>
      <c r="E15" s="154"/>
      <c r="F15" s="154">
        <f>SUM(F16:F34)</f>
        <v>19785662.520000003</v>
      </c>
      <c r="G15" s="154">
        <f>SUM(G16:G34)</f>
        <v>17916888.870000005</v>
      </c>
      <c r="H15" s="203">
        <f>SUM(H16:H34)</f>
        <v>6560369.37</v>
      </c>
      <c r="I15" s="203"/>
      <c r="J15" s="214">
        <f t="shared" si="2"/>
        <v>38.69983683291818</v>
      </c>
      <c r="K15" s="215"/>
      <c r="L15" s="220">
        <f t="shared" si="3"/>
        <v>10391560.939999998</v>
      </c>
      <c r="M15" s="196">
        <f>SUM(M16:M34)</f>
        <v>1236888.87</v>
      </c>
      <c r="N15" s="154">
        <f aca="true" t="shared" si="5" ref="N15:X15">SUM(N16:N34)</f>
        <v>0</v>
      </c>
      <c r="O15" s="154">
        <f t="shared" si="5"/>
        <v>1000000</v>
      </c>
      <c r="P15" s="154">
        <f t="shared" si="5"/>
        <v>3530000</v>
      </c>
      <c r="Q15" s="154">
        <f t="shared" si="5"/>
        <v>1418773.65</v>
      </c>
      <c r="R15" s="154">
        <f t="shared" si="5"/>
        <v>3350000</v>
      </c>
      <c r="S15" s="154">
        <f t="shared" si="5"/>
        <v>3076000</v>
      </c>
      <c r="T15" s="154">
        <f>SUM(T16:T34)</f>
        <v>3340267.79</v>
      </c>
      <c r="U15" s="154">
        <f t="shared" si="5"/>
        <v>1809732.21</v>
      </c>
      <c r="V15" s="154">
        <f t="shared" si="5"/>
        <v>600000</v>
      </c>
      <c r="W15" s="154">
        <f t="shared" si="5"/>
        <v>424000</v>
      </c>
      <c r="X15" s="154">
        <f t="shared" si="5"/>
        <v>19785662.520000003</v>
      </c>
    </row>
    <row r="16" spans="1:24" ht="18.75">
      <c r="A16" s="133"/>
      <c r="B16" s="134"/>
      <c r="C16" s="137" t="s">
        <v>112</v>
      </c>
      <c r="D16" s="155">
        <f>F16</f>
        <v>1868773.6500000001</v>
      </c>
      <c r="E16" s="136"/>
      <c r="F16" s="155">
        <f>1883424.34-14650.69</f>
        <v>1868773.6500000001</v>
      </c>
      <c r="G16" s="156"/>
      <c r="H16" s="204">
        <f>11331.03+86811.92+1531.69+1353.6+47120.79+440000+62636.1+1320+69019.18+42379+230772+4406.44+180000+64621+325000</f>
        <v>1568302.75</v>
      </c>
      <c r="I16" s="222"/>
      <c r="J16" s="209">
        <f t="shared" si="2"/>
        <v>83.92149311394668</v>
      </c>
      <c r="K16" s="216"/>
      <c r="L16" s="221">
        <f>M16+N16+O16+P16+Q16+R16+S16+T16-H16</f>
        <v>300470.8999999999</v>
      </c>
      <c r="M16" s="194"/>
      <c r="N16" s="181"/>
      <c r="O16" s="179">
        <v>1000000</v>
      </c>
      <c r="P16" s="179">
        <v>400000</v>
      </c>
      <c r="Q16" s="179">
        <v>468773.65</v>
      </c>
      <c r="R16" s="181"/>
      <c r="S16" s="181"/>
      <c r="T16" s="181"/>
      <c r="U16" s="181"/>
      <c r="V16" s="181"/>
      <c r="W16" s="181"/>
      <c r="X16" s="180">
        <f t="shared" si="4"/>
        <v>1868773.65</v>
      </c>
    </row>
    <row r="17" spans="1:24" s="131" customFormat="1" ht="18.75">
      <c r="A17" s="138"/>
      <c r="B17" s="138"/>
      <c r="C17" s="137" t="s">
        <v>532</v>
      </c>
      <c r="D17" s="160">
        <f aca="true" t="shared" si="6" ref="D17:D34">F17</f>
        <v>10000000</v>
      </c>
      <c r="E17" s="130"/>
      <c r="F17" s="155">
        <f aca="true" t="shared" si="7" ref="F17:F34">G17</f>
        <v>10000000</v>
      </c>
      <c r="G17" s="155">
        <v>10000000</v>
      </c>
      <c r="H17" s="204">
        <f>91583</f>
        <v>91583</v>
      </c>
      <c r="I17" s="222"/>
      <c r="J17" s="209">
        <f t="shared" si="2"/>
        <v>1.1893896103896104</v>
      </c>
      <c r="K17" s="216"/>
      <c r="L17" s="221">
        <f t="shared" si="3"/>
        <v>7608417</v>
      </c>
      <c r="M17" s="197"/>
      <c r="N17" s="173"/>
      <c r="O17" s="173"/>
      <c r="P17" s="173">
        <v>100000</v>
      </c>
      <c r="Q17" s="173"/>
      <c r="R17" s="173">
        <v>3000000</v>
      </c>
      <c r="S17" s="173">
        <v>2300000</v>
      </c>
      <c r="T17" s="173">
        <v>2300000</v>
      </c>
      <c r="U17" s="173">
        <v>1700000</v>
      </c>
      <c r="V17" s="173">
        <v>600000</v>
      </c>
      <c r="W17" s="174"/>
      <c r="X17" s="182">
        <f t="shared" si="4"/>
        <v>10000000</v>
      </c>
    </row>
    <row r="18" spans="1:24" s="131" customFormat="1" ht="23.25" customHeight="1">
      <c r="A18" s="138"/>
      <c r="B18" s="138"/>
      <c r="C18" s="137" t="s">
        <v>166</v>
      </c>
      <c r="D18" s="160">
        <f t="shared" si="6"/>
        <v>279079.21</v>
      </c>
      <c r="E18" s="130"/>
      <c r="F18" s="155">
        <f t="shared" si="7"/>
        <v>279079.21</v>
      </c>
      <c r="G18" s="155">
        <v>279079.21</v>
      </c>
      <c r="H18" s="204">
        <v>279079.21</v>
      </c>
      <c r="I18" s="222"/>
      <c r="J18" s="209">
        <f t="shared" si="2"/>
        <v>100</v>
      </c>
      <c r="K18" s="216"/>
      <c r="L18" s="221">
        <f t="shared" si="3"/>
        <v>0</v>
      </c>
      <c r="M18" s="197">
        <v>279079.21</v>
      </c>
      <c r="N18" s="173"/>
      <c r="O18" s="173"/>
      <c r="P18" s="173"/>
      <c r="Q18" s="173"/>
      <c r="R18" s="173"/>
      <c r="S18" s="173"/>
      <c r="T18" s="173"/>
      <c r="U18" s="173"/>
      <c r="V18" s="173"/>
      <c r="W18" s="173"/>
      <c r="X18" s="182">
        <f t="shared" si="4"/>
        <v>279079.21</v>
      </c>
    </row>
    <row r="19" spans="1:24" s="131" customFormat="1" ht="39.75" customHeight="1">
      <c r="A19" s="138"/>
      <c r="B19" s="138"/>
      <c r="C19" s="137" t="s">
        <v>113</v>
      </c>
      <c r="D19" s="160">
        <f t="shared" si="6"/>
        <v>1004077.15</v>
      </c>
      <c r="E19" s="130"/>
      <c r="F19" s="155">
        <f t="shared" si="7"/>
        <v>1004077.15</v>
      </c>
      <c r="G19" s="155">
        <f>44077.15+780000+180000</f>
        <v>1004077.15</v>
      </c>
      <c r="H19" s="204">
        <f>44077.15+767334.35+82605.77</f>
        <v>894017.27</v>
      </c>
      <c r="I19" s="222"/>
      <c r="J19" s="209">
        <f t="shared" si="2"/>
        <v>89.03870285266426</v>
      </c>
      <c r="K19" s="216"/>
      <c r="L19" s="221">
        <f t="shared" si="3"/>
        <v>110059.88</v>
      </c>
      <c r="M19" s="197">
        <v>44077.15</v>
      </c>
      <c r="N19" s="173"/>
      <c r="O19" s="173"/>
      <c r="P19" s="173">
        <v>780000</v>
      </c>
      <c r="Q19" s="173"/>
      <c r="R19" s="173"/>
      <c r="S19" s="173">
        <f>180000</f>
        <v>180000</v>
      </c>
      <c r="T19" s="173"/>
      <c r="U19" s="173"/>
      <c r="V19" s="173"/>
      <c r="W19" s="173"/>
      <c r="X19" s="182">
        <f t="shared" si="4"/>
        <v>1004077.15</v>
      </c>
    </row>
    <row r="20" spans="1:24" s="131" customFormat="1" ht="39" customHeight="1">
      <c r="A20" s="138"/>
      <c r="B20" s="138"/>
      <c r="C20" s="137" t="s">
        <v>114</v>
      </c>
      <c r="D20" s="160">
        <f t="shared" si="6"/>
        <v>416953.04000000004</v>
      </c>
      <c r="E20" s="130"/>
      <c r="F20" s="155">
        <f t="shared" si="7"/>
        <v>416953.04000000004</v>
      </c>
      <c r="G20" s="172">
        <f>156953.04+260000</f>
        <v>416953.04000000004</v>
      </c>
      <c r="H20" s="204">
        <f>156953.04</f>
        <v>156953.04</v>
      </c>
      <c r="I20" s="222"/>
      <c r="J20" s="209">
        <f t="shared" si="2"/>
        <v>37.6428578143956</v>
      </c>
      <c r="K20" s="216"/>
      <c r="L20" s="221">
        <f t="shared" si="3"/>
        <v>260000.00000000003</v>
      </c>
      <c r="M20" s="197">
        <v>156953.04</v>
      </c>
      <c r="N20" s="173"/>
      <c r="O20" s="173"/>
      <c r="P20" s="173"/>
      <c r="Q20" s="173">
        <v>260000</v>
      </c>
      <c r="R20" s="173"/>
      <c r="S20" s="173"/>
      <c r="T20" s="173"/>
      <c r="U20" s="173"/>
      <c r="V20" s="173"/>
      <c r="W20" s="173"/>
      <c r="X20" s="182">
        <f t="shared" si="4"/>
        <v>416953.04000000004</v>
      </c>
    </row>
    <row r="21" spans="1:24" s="131" customFormat="1" ht="37.5">
      <c r="A21" s="138"/>
      <c r="B21" s="138"/>
      <c r="C21" s="137" t="s">
        <v>115</v>
      </c>
      <c r="D21" s="160">
        <f t="shared" si="6"/>
        <v>61559.33</v>
      </c>
      <c r="E21" s="130"/>
      <c r="F21" s="155">
        <f t="shared" si="7"/>
        <v>61559.33</v>
      </c>
      <c r="G21" s="172">
        <f>11559.33+50000</f>
        <v>61559.33</v>
      </c>
      <c r="H21" s="204">
        <f>11559.33</f>
        <v>11559.33</v>
      </c>
      <c r="I21" s="229"/>
      <c r="J21" s="209">
        <f t="shared" si="2"/>
        <v>18.77754355026281</v>
      </c>
      <c r="K21" s="216"/>
      <c r="L21" s="221">
        <f t="shared" si="3"/>
        <v>50000</v>
      </c>
      <c r="M21" s="197">
        <v>11559.33</v>
      </c>
      <c r="N21" s="173"/>
      <c r="O21" s="173"/>
      <c r="P21" s="173">
        <v>50000</v>
      </c>
      <c r="Q21" s="173"/>
      <c r="R21" s="173"/>
      <c r="S21" s="173"/>
      <c r="T21" s="173"/>
      <c r="U21" s="173"/>
      <c r="V21" s="173"/>
      <c r="W21" s="173"/>
      <c r="X21" s="182">
        <f t="shared" si="4"/>
        <v>61559.33</v>
      </c>
    </row>
    <row r="22" spans="1:24" s="131" customFormat="1" ht="18.75">
      <c r="A22" s="138"/>
      <c r="B22" s="138"/>
      <c r="C22" s="137" t="s">
        <v>116</v>
      </c>
      <c r="D22" s="160">
        <f t="shared" si="6"/>
        <v>865220.14</v>
      </c>
      <c r="E22" s="160"/>
      <c r="F22" s="160">
        <f t="shared" si="7"/>
        <v>865220.14</v>
      </c>
      <c r="G22" s="172">
        <f>745220.14+120000</f>
        <v>865220.14</v>
      </c>
      <c r="H22" s="204">
        <f>745220.14+51453.47</f>
        <v>796673.61</v>
      </c>
      <c r="I22" s="229"/>
      <c r="J22" s="209">
        <f t="shared" si="2"/>
        <v>92.07756190233852</v>
      </c>
      <c r="K22" s="216"/>
      <c r="L22" s="221">
        <f t="shared" si="3"/>
        <v>68546.53000000003</v>
      </c>
      <c r="M22" s="197">
        <v>745220.14</v>
      </c>
      <c r="N22" s="173"/>
      <c r="O22" s="173"/>
      <c r="P22" s="173">
        <v>120000</v>
      </c>
      <c r="Q22" s="173"/>
      <c r="R22" s="173"/>
      <c r="S22" s="173"/>
      <c r="T22" s="173"/>
      <c r="U22" s="173"/>
      <c r="V22" s="173"/>
      <c r="W22" s="173"/>
      <c r="X22" s="182">
        <f t="shared" si="4"/>
        <v>865220.14</v>
      </c>
    </row>
    <row r="23" spans="1:24" s="131" customFormat="1" ht="18.75">
      <c r="A23" s="170"/>
      <c r="B23" s="171"/>
      <c r="C23" s="137" t="s">
        <v>530</v>
      </c>
      <c r="D23" s="160">
        <f t="shared" si="6"/>
        <v>100000</v>
      </c>
      <c r="E23" s="187"/>
      <c r="F23" s="160">
        <f t="shared" si="7"/>
        <v>100000</v>
      </c>
      <c r="G23" s="172">
        <v>100000</v>
      </c>
      <c r="H23" s="206">
        <v>0</v>
      </c>
      <c r="I23" s="229"/>
      <c r="J23" s="209">
        <f t="shared" si="2"/>
        <v>0</v>
      </c>
      <c r="K23" s="216"/>
      <c r="L23" s="221">
        <f t="shared" si="3"/>
        <v>100000</v>
      </c>
      <c r="M23" s="197"/>
      <c r="N23" s="173"/>
      <c r="O23" s="173"/>
      <c r="P23" s="173">
        <v>100000</v>
      </c>
      <c r="Q23" s="173"/>
      <c r="R23" s="173"/>
      <c r="S23" s="173"/>
      <c r="T23" s="173"/>
      <c r="U23" s="173"/>
      <c r="V23" s="173"/>
      <c r="W23" s="173"/>
      <c r="X23" s="182">
        <f t="shared" si="4"/>
        <v>100000</v>
      </c>
    </row>
    <row r="24" spans="1:24" s="131" customFormat="1" ht="18.75">
      <c r="A24" s="170"/>
      <c r="B24" s="171"/>
      <c r="C24" s="137" t="s">
        <v>531</v>
      </c>
      <c r="D24" s="160">
        <f t="shared" si="6"/>
        <v>450000</v>
      </c>
      <c r="E24" s="187"/>
      <c r="F24" s="160">
        <f t="shared" si="7"/>
        <v>450000</v>
      </c>
      <c r="G24" s="172">
        <v>450000</v>
      </c>
      <c r="H24" s="206">
        <f>17000+209206</f>
        <v>226206</v>
      </c>
      <c r="I24" s="229"/>
      <c r="J24" s="209">
        <f t="shared" si="2"/>
        <v>50.268</v>
      </c>
      <c r="K24" s="216"/>
      <c r="L24" s="221">
        <f t="shared" si="3"/>
        <v>223794</v>
      </c>
      <c r="M24" s="197"/>
      <c r="N24" s="173"/>
      <c r="O24" s="173"/>
      <c r="P24" s="173">
        <v>450000</v>
      </c>
      <c r="Q24" s="173"/>
      <c r="R24" s="173"/>
      <c r="S24" s="173">
        <v>-200000</v>
      </c>
      <c r="T24" s="173">
        <v>200000</v>
      </c>
      <c r="U24" s="173"/>
      <c r="V24" s="173"/>
      <c r="W24" s="173"/>
      <c r="X24" s="182">
        <f t="shared" si="4"/>
        <v>450000</v>
      </c>
    </row>
    <row r="25" spans="1:24" s="131" customFormat="1" ht="18.75">
      <c r="A25" s="170"/>
      <c r="B25" s="171"/>
      <c r="C25" s="137" t="s">
        <v>117</v>
      </c>
      <c r="D25" s="160">
        <f t="shared" si="6"/>
        <v>1100000</v>
      </c>
      <c r="E25" s="187"/>
      <c r="F25" s="160">
        <f t="shared" si="7"/>
        <v>1100000</v>
      </c>
      <c r="G25" s="172">
        <v>1100000</v>
      </c>
      <c r="H25" s="206">
        <f>734925.13+339393+18811.97+220</f>
        <v>1093350.0999999999</v>
      </c>
      <c r="I25" s="229"/>
      <c r="J25" s="209">
        <f t="shared" si="2"/>
        <v>99.39546363636363</v>
      </c>
      <c r="K25" s="216"/>
      <c r="L25" s="221">
        <f t="shared" si="3"/>
        <v>6649.90000000014</v>
      </c>
      <c r="M25" s="197"/>
      <c r="N25" s="173"/>
      <c r="O25" s="173"/>
      <c r="P25" s="173">
        <v>400000</v>
      </c>
      <c r="Q25" s="173">
        <v>350000</v>
      </c>
      <c r="R25" s="173">
        <v>350000</v>
      </c>
      <c r="S25" s="173"/>
      <c r="T25" s="173"/>
      <c r="U25" s="173"/>
      <c r="V25" s="173"/>
      <c r="W25" s="173"/>
      <c r="X25" s="182">
        <f t="shared" si="4"/>
        <v>1100000</v>
      </c>
    </row>
    <row r="26" spans="1:24" s="131" customFormat="1" ht="37.5">
      <c r="A26" s="170"/>
      <c r="B26" s="171"/>
      <c r="C26" s="137" t="s">
        <v>118</v>
      </c>
      <c r="D26" s="160">
        <f t="shared" si="6"/>
        <v>500000</v>
      </c>
      <c r="E26" s="187"/>
      <c r="F26" s="160">
        <f t="shared" si="7"/>
        <v>500000</v>
      </c>
      <c r="G26" s="172">
        <f>500000</f>
        <v>500000</v>
      </c>
      <c r="H26" s="206">
        <v>0</v>
      </c>
      <c r="I26" s="229"/>
      <c r="J26" s="209"/>
      <c r="K26" s="216"/>
      <c r="L26" s="221">
        <f t="shared" si="3"/>
        <v>76000</v>
      </c>
      <c r="M26" s="197"/>
      <c r="N26" s="173"/>
      <c r="O26" s="173"/>
      <c r="P26" s="173"/>
      <c r="Q26" s="173"/>
      <c r="R26" s="173"/>
      <c r="S26" s="173">
        <v>76000</v>
      </c>
      <c r="T26" s="173"/>
      <c r="U26" s="173"/>
      <c r="V26" s="173"/>
      <c r="W26" s="173">
        <v>424000</v>
      </c>
      <c r="X26" s="182">
        <f t="shared" si="4"/>
        <v>500000</v>
      </c>
    </row>
    <row r="27" spans="1:24" s="131" customFormat="1" ht="37.5">
      <c r="A27" s="170"/>
      <c r="B27" s="171"/>
      <c r="C27" s="137" t="s">
        <v>536</v>
      </c>
      <c r="D27" s="160">
        <f t="shared" si="6"/>
        <v>40000</v>
      </c>
      <c r="E27" s="187"/>
      <c r="F27" s="160">
        <f t="shared" si="7"/>
        <v>40000</v>
      </c>
      <c r="G27" s="172">
        <v>40000</v>
      </c>
      <c r="H27" s="206">
        <v>0</v>
      </c>
      <c r="I27" s="229"/>
      <c r="J27" s="209"/>
      <c r="K27" s="216"/>
      <c r="L27" s="221">
        <f t="shared" si="3"/>
        <v>40000</v>
      </c>
      <c r="M27" s="197"/>
      <c r="N27" s="173"/>
      <c r="O27" s="173"/>
      <c r="P27" s="173">
        <v>10000</v>
      </c>
      <c r="Q27" s="173">
        <v>30000</v>
      </c>
      <c r="R27" s="173"/>
      <c r="S27" s="173"/>
      <c r="T27" s="173"/>
      <c r="U27" s="173"/>
      <c r="V27" s="173"/>
      <c r="W27" s="173"/>
      <c r="X27" s="182">
        <f t="shared" si="4"/>
        <v>40000</v>
      </c>
    </row>
    <row r="28" spans="1:24" s="131" customFormat="1" ht="37.5">
      <c r="A28" s="170"/>
      <c r="B28" s="171"/>
      <c r="C28" s="137" t="s">
        <v>534</v>
      </c>
      <c r="D28" s="160">
        <f t="shared" si="6"/>
        <v>60000</v>
      </c>
      <c r="E28" s="187"/>
      <c r="F28" s="160">
        <f t="shared" si="7"/>
        <v>60000</v>
      </c>
      <c r="G28" s="160">
        <v>60000</v>
      </c>
      <c r="H28" s="206">
        <v>0</v>
      </c>
      <c r="I28" s="229"/>
      <c r="J28" s="209"/>
      <c r="K28" s="216"/>
      <c r="L28" s="221">
        <f t="shared" si="3"/>
        <v>60000</v>
      </c>
      <c r="M28" s="197"/>
      <c r="N28" s="173"/>
      <c r="O28" s="173"/>
      <c r="P28" s="173">
        <v>15000</v>
      </c>
      <c r="Q28" s="173">
        <v>45000</v>
      </c>
      <c r="R28" s="173"/>
      <c r="S28" s="173"/>
      <c r="T28" s="173"/>
      <c r="U28" s="173"/>
      <c r="V28" s="173"/>
      <c r="W28" s="173"/>
      <c r="X28" s="182">
        <f t="shared" si="4"/>
        <v>60000</v>
      </c>
    </row>
    <row r="29" spans="1:24" s="131" customFormat="1" ht="37.5">
      <c r="A29" s="170"/>
      <c r="B29" s="171"/>
      <c r="C29" s="137" t="s">
        <v>535</v>
      </c>
      <c r="D29" s="160">
        <f t="shared" si="6"/>
        <v>300000</v>
      </c>
      <c r="E29" s="187"/>
      <c r="F29" s="160">
        <f t="shared" si="7"/>
        <v>300000</v>
      </c>
      <c r="G29" s="160">
        <v>300000</v>
      </c>
      <c r="H29" s="206">
        <v>10833.73</v>
      </c>
      <c r="I29" s="229"/>
      <c r="J29" s="209">
        <f t="shared" si="2"/>
        <v>3.6112433333333334</v>
      </c>
      <c r="K29" s="216"/>
      <c r="L29" s="221">
        <f t="shared" si="3"/>
        <v>289166.27</v>
      </c>
      <c r="M29" s="197"/>
      <c r="N29" s="173"/>
      <c r="O29" s="173"/>
      <c r="P29" s="173">
        <v>35000</v>
      </c>
      <c r="Q29" s="173">
        <v>265000</v>
      </c>
      <c r="R29" s="173"/>
      <c r="S29" s="173"/>
      <c r="T29" s="173"/>
      <c r="U29" s="173"/>
      <c r="V29" s="173"/>
      <c r="W29" s="173"/>
      <c r="X29" s="182">
        <f t="shared" si="4"/>
        <v>300000</v>
      </c>
    </row>
    <row r="30" spans="1:24" s="131" customFormat="1" ht="37.5">
      <c r="A30" s="170"/>
      <c r="B30" s="171"/>
      <c r="C30" s="137" t="s">
        <v>119</v>
      </c>
      <c r="D30" s="160">
        <f t="shared" si="6"/>
        <v>650000</v>
      </c>
      <c r="E30" s="187"/>
      <c r="F30" s="160">
        <f t="shared" si="7"/>
        <v>650000</v>
      </c>
      <c r="G30" s="160">
        <v>650000</v>
      </c>
      <c r="H30" s="206">
        <f>9702.61+121416+193587.53+819+104876+1924.61</f>
        <v>432325.75</v>
      </c>
      <c r="I30" s="229"/>
      <c r="J30" s="209">
        <f t="shared" si="2"/>
        <v>66.51165384615385</v>
      </c>
      <c r="K30" s="216"/>
      <c r="L30" s="221">
        <f t="shared" si="3"/>
        <v>217674.25</v>
      </c>
      <c r="M30" s="197"/>
      <c r="N30" s="173"/>
      <c r="O30" s="173"/>
      <c r="P30" s="173">
        <v>650000</v>
      </c>
      <c r="Q30" s="173"/>
      <c r="R30" s="173"/>
      <c r="S30" s="173">
        <f>-200000</f>
        <v>-200000</v>
      </c>
      <c r="T30" s="173">
        <v>200000</v>
      </c>
      <c r="U30" s="173"/>
      <c r="V30" s="173"/>
      <c r="W30" s="173"/>
      <c r="X30" s="182">
        <f t="shared" si="4"/>
        <v>650000</v>
      </c>
    </row>
    <row r="31" spans="1:24" s="131" customFormat="1" ht="18.75">
      <c r="A31" s="170"/>
      <c r="B31" s="171"/>
      <c r="C31" s="137" t="s">
        <v>537</v>
      </c>
      <c r="D31" s="160">
        <f t="shared" si="6"/>
        <v>250000</v>
      </c>
      <c r="E31" s="187"/>
      <c r="F31" s="160">
        <f t="shared" si="7"/>
        <v>250000</v>
      </c>
      <c r="G31" s="172">
        <v>250000</v>
      </c>
      <c r="H31" s="206">
        <v>0</v>
      </c>
      <c r="I31" s="229"/>
      <c r="J31" s="209"/>
      <c r="K31" s="216"/>
      <c r="L31" s="221">
        <f t="shared" si="3"/>
        <v>250000</v>
      </c>
      <c r="M31" s="197"/>
      <c r="N31" s="173"/>
      <c r="O31" s="173"/>
      <c r="P31" s="173">
        <v>250000</v>
      </c>
      <c r="Q31" s="173"/>
      <c r="R31" s="173"/>
      <c r="S31" s="173"/>
      <c r="T31" s="173"/>
      <c r="U31" s="173"/>
      <c r="V31" s="173"/>
      <c r="W31" s="173"/>
      <c r="X31" s="182">
        <f t="shared" si="4"/>
        <v>250000</v>
      </c>
    </row>
    <row r="32" spans="1:24" s="131" customFormat="1" ht="37.5">
      <c r="A32" s="170"/>
      <c r="B32" s="171"/>
      <c r="C32" s="137" t="s">
        <v>538</v>
      </c>
      <c r="D32" s="160">
        <f t="shared" si="6"/>
        <v>120000</v>
      </c>
      <c r="E32" s="187"/>
      <c r="F32" s="160">
        <f t="shared" si="7"/>
        <v>120000</v>
      </c>
      <c r="G32" s="172">
        <v>120000</v>
      </c>
      <c r="H32" s="206">
        <v>0</v>
      </c>
      <c r="I32" s="229"/>
      <c r="J32" s="209"/>
      <c r="K32" s="216"/>
      <c r="L32" s="221">
        <f t="shared" si="3"/>
        <v>120000</v>
      </c>
      <c r="M32" s="197"/>
      <c r="N32" s="173"/>
      <c r="O32" s="173"/>
      <c r="P32" s="173">
        <v>120000</v>
      </c>
      <c r="Q32" s="173"/>
      <c r="R32" s="173"/>
      <c r="S32" s="173"/>
      <c r="T32" s="173"/>
      <c r="U32" s="173"/>
      <c r="V32" s="173"/>
      <c r="W32" s="173"/>
      <c r="X32" s="182">
        <f t="shared" si="4"/>
        <v>120000</v>
      </c>
    </row>
    <row r="33" spans="1:24" s="131" customFormat="1" ht="18.75">
      <c r="A33" s="170"/>
      <c r="B33" s="171"/>
      <c r="C33" s="137" t="s">
        <v>543</v>
      </c>
      <c r="D33" s="160">
        <f t="shared" si="6"/>
        <v>1120000</v>
      </c>
      <c r="E33" s="187"/>
      <c r="F33" s="160">
        <f t="shared" si="7"/>
        <v>1120000</v>
      </c>
      <c r="G33" s="172">
        <v>1120000</v>
      </c>
      <c r="H33" s="206">
        <f>23495.13+895000+80990.45</f>
        <v>999485.58</v>
      </c>
      <c r="I33" s="229"/>
      <c r="J33" s="209">
        <f t="shared" si="2"/>
        <v>89.23978392857143</v>
      </c>
      <c r="K33" s="216"/>
      <c r="L33" s="221">
        <f t="shared" si="3"/>
        <v>120514.42000000004</v>
      </c>
      <c r="M33" s="197"/>
      <c r="N33" s="173"/>
      <c r="O33" s="173"/>
      <c r="P33" s="173"/>
      <c r="Q33" s="173"/>
      <c r="R33" s="173"/>
      <c r="S33" s="173">
        <f>520000+400000</f>
        <v>920000</v>
      </c>
      <c r="T33" s="173">
        <f>600000-400000</f>
        <v>200000</v>
      </c>
      <c r="U33" s="173"/>
      <c r="V33" s="173"/>
      <c r="W33" s="173"/>
      <c r="X33" s="182">
        <f t="shared" si="4"/>
        <v>1120000</v>
      </c>
    </row>
    <row r="34" spans="1:24" s="131" customFormat="1" ht="18.75">
      <c r="A34" s="170"/>
      <c r="B34" s="171"/>
      <c r="C34" s="137" t="s">
        <v>539</v>
      </c>
      <c r="D34" s="160">
        <f t="shared" si="6"/>
        <v>600000</v>
      </c>
      <c r="E34" s="187"/>
      <c r="F34" s="160">
        <f t="shared" si="7"/>
        <v>600000</v>
      </c>
      <c r="G34" s="172">
        <v>600000</v>
      </c>
      <c r="H34" s="206">
        <v>0</v>
      </c>
      <c r="I34" s="229"/>
      <c r="J34" s="209"/>
      <c r="K34" s="216"/>
      <c r="L34" s="221">
        <f t="shared" si="3"/>
        <v>490267.79</v>
      </c>
      <c r="M34" s="197"/>
      <c r="N34" s="173"/>
      <c r="O34" s="173"/>
      <c r="P34" s="173">
        <v>50000</v>
      </c>
      <c r="Q34" s="173"/>
      <c r="R34" s="173"/>
      <c r="S34" s="173"/>
      <c r="T34" s="173">
        <v>440267.79</v>
      </c>
      <c r="U34" s="173">
        <v>109732.21</v>
      </c>
      <c r="V34" s="173"/>
      <c r="W34" s="173"/>
      <c r="X34" s="182">
        <f t="shared" si="4"/>
        <v>600000</v>
      </c>
    </row>
    <row r="35" spans="1:24" s="131" customFormat="1" ht="27.75" customHeight="1">
      <c r="A35" s="270" t="s">
        <v>540</v>
      </c>
      <c r="B35" s="271"/>
      <c r="C35" s="271"/>
      <c r="D35" s="271"/>
      <c r="E35" s="271"/>
      <c r="F35" s="271"/>
      <c r="G35" s="271"/>
      <c r="H35" s="271"/>
      <c r="I35" s="271"/>
      <c r="J35" s="272"/>
      <c r="K35" s="216"/>
      <c r="L35" s="221">
        <f t="shared" si="3"/>
        <v>0</v>
      </c>
      <c r="X35" s="155"/>
    </row>
    <row r="36" spans="1:24" s="131" customFormat="1" ht="27.75" customHeight="1">
      <c r="A36" s="150">
        <v>2</v>
      </c>
      <c r="B36" s="151"/>
      <c r="C36" s="161" t="s">
        <v>541</v>
      </c>
      <c r="D36" s="152">
        <f>D37</f>
        <v>701896.79</v>
      </c>
      <c r="E36" s="151"/>
      <c r="F36" s="152">
        <f>G36</f>
        <v>701896.79</v>
      </c>
      <c r="G36" s="152">
        <f>G37</f>
        <v>701896.79</v>
      </c>
      <c r="H36" s="175">
        <f>H37</f>
        <v>701896.79</v>
      </c>
      <c r="I36" s="175"/>
      <c r="J36" s="227">
        <f aca="true" t="shared" si="8" ref="J36:J83">H36/(M36+N36+O36+P36+Q36+R36+S36+T36)*100</f>
        <v>100</v>
      </c>
      <c r="K36" s="218"/>
      <c r="L36" s="220">
        <f t="shared" si="3"/>
        <v>0</v>
      </c>
      <c r="M36" s="198">
        <f>M37</f>
        <v>701896.79</v>
      </c>
      <c r="N36" s="175">
        <f aca="true" t="shared" si="9" ref="N36:X37">N37</f>
        <v>0</v>
      </c>
      <c r="O36" s="175">
        <f t="shared" si="9"/>
        <v>0</v>
      </c>
      <c r="P36" s="175">
        <f t="shared" si="9"/>
        <v>0</v>
      </c>
      <c r="Q36" s="175">
        <f t="shared" si="9"/>
        <v>0</v>
      </c>
      <c r="R36" s="175">
        <f t="shared" si="9"/>
        <v>0</v>
      </c>
      <c r="S36" s="175">
        <f t="shared" si="9"/>
        <v>0</v>
      </c>
      <c r="T36" s="175">
        <f t="shared" si="9"/>
        <v>0</v>
      </c>
      <c r="U36" s="175">
        <f t="shared" si="9"/>
        <v>0</v>
      </c>
      <c r="V36" s="175">
        <f t="shared" si="9"/>
        <v>0</v>
      </c>
      <c r="W36" s="175">
        <f t="shared" si="9"/>
        <v>0</v>
      </c>
      <c r="X36" s="175">
        <f t="shared" si="9"/>
        <v>701896.79</v>
      </c>
    </row>
    <row r="37" spans="1:24" s="131" customFormat="1" ht="23.25" customHeight="1">
      <c r="A37" s="133" t="s">
        <v>475</v>
      </c>
      <c r="B37" s="168"/>
      <c r="C37" s="159" t="s">
        <v>529</v>
      </c>
      <c r="D37" s="162">
        <f>F37</f>
        <v>701896.79</v>
      </c>
      <c r="E37" s="138"/>
      <c r="F37" s="162">
        <f>G37</f>
        <v>701896.79</v>
      </c>
      <c r="G37" s="162">
        <f>G38</f>
        <v>701896.79</v>
      </c>
      <c r="H37" s="176">
        <f>H38</f>
        <v>701896.79</v>
      </c>
      <c r="I37" s="176"/>
      <c r="J37" s="214">
        <f t="shared" si="8"/>
        <v>100</v>
      </c>
      <c r="K37" s="217"/>
      <c r="L37" s="220">
        <f t="shared" si="3"/>
        <v>0</v>
      </c>
      <c r="M37" s="199">
        <f>M38</f>
        <v>701896.79</v>
      </c>
      <c r="N37" s="176">
        <f t="shared" si="9"/>
        <v>0</v>
      </c>
      <c r="O37" s="176">
        <f t="shared" si="9"/>
        <v>0</v>
      </c>
      <c r="P37" s="176">
        <f t="shared" si="9"/>
        <v>0</v>
      </c>
      <c r="Q37" s="176">
        <f t="shared" si="9"/>
        <v>0</v>
      </c>
      <c r="R37" s="176">
        <f t="shared" si="9"/>
        <v>0</v>
      </c>
      <c r="S37" s="176">
        <f t="shared" si="9"/>
        <v>0</v>
      </c>
      <c r="T37" s="176">
        <f t="shared" si="9"/>
        <v>0</v>
      </c>
      <c r="U37" s="176">
        <f t="shared" si="9"/>
        <v>0</v>
      </c>
      <c r="V37" s="176">
        <f t="shared" si="9"/>
        <v>0</v>
      </c>
      <c r="W37" s="176">
        <f t="shared" si="9"/>
        <v>0</v>
      </c>
      <c r="X37" s="176">
        <f t="shared" si="9"/>
        <v>701896.79</v>
      </c>
    </row>
    <row r="38" spans="1:24" s="131" customFormat="1" ht="38.25" customHeight="1">
      <c r="A38" s="133"/>
      <c r="B38" s="168"/>
      <c r="C38" s="137" t="s">
        <v>502</v>
      </c>
      <c r="D38" s="160">
        <f>F38</f>
        <v>701896.79</v>
      </c>
      <c r="E38" s="138"/>
      <c r="F38" s="160">
        <f>G38</f>
        <v>701896.79</v>
      </c>
      <c r="G38" s="160">
        <v>701896.79</v>
      </c>
      <c r="H38" s="207">
        <v>701896.79</v>
      </c>
      <c r="I38" s="224"/>
      <c r="J38" s="209">
        <f t="shared" si="8"/>
        <v>100</v>
      </c>
      <c r="K38" s="216"/>
      <c r="L38" s="221">
        <f t="shared" si="3"/>
        <v>0</v>
      </c>
      <c r="M38" s="200">
        <v>701896.79</v>
      </c>
      <c r="N38" s="189"/>
      <c r="O38" s="189"/>
      <c r="P38" s="189"/>
      <c r="Q38" s="189"/>
      <c r="R38" s="189"/>
      <c r="S38" s="189"/>
      <c r="T38" s="189"/>
      <c r="U38" s="189"/>
      <c r="V38" s="189"/>
      <c r="W38" s="189"/>
      <c r="X38" s="182">
        <f t="shared" si="4"/>
        <v>701896.79</v>
      </c>
    </row>
    <row r="39" spans="1:24" s="131" customFormat="1" ht="45.75" customHeight="1">
      <c r="A39" s="150">
        <v>3</v>
      </c>
      <c r="B39" s="169"/>
      <c r="C39" s="151" t="s">
        <v>481</v>
      </c>
      <c r="D39" s="152">
        <f>D40</f>
        <v>20745187.960000005</v>
      </c>
      <c r="E39" s="152"/>
      <c r="F39" s="152">
        <f>F40</f>
        <v>20745187.960000005</v>
      </c>
      <c r="G39" s="152">
        <f>G40</f>
        <v>20745187.960000005</v>
      </c>
      <c r="H39" s="175">
        <f>H40</f>
        <v>1998409.71</v>
      </c>
      <c r="I39" s="175"/>
      <c r="J39" s="227">
        <f t="shared" si="8"/>
        <v>9.684475440077357</v>
      </c>
      <c r="K39" s="218"/>
      <c r="L39" s="220">
        <f t="shared" si="3"/>
        <v>18636778.25</v>
      </c>
      <c r="M39" s="198">
        <f>M40</f>
        <v>471102.4199999999</v>
      </c>
      <c r="N39" s="175">
        <f aca="true" t="shared" si="10" ref="N39:X39">N40</f>
        <v>0</v>
      </c>
      <c r="O39" s="175">
        <f t="shared" si="10"/>
        <v>0</v>
      </c>
      <c r="P39" s="175">
        <f t="shared" si="10"/>
        <v>446782.66</v>
      </c>
      <c r="Q39" s="175">
        <f t="shared" si="10"/>
        <v>2622872.3</v>
      </c>
      <c r="R39" s="175">
        <f t="shared" si="10"/>
        <v>1808135.9700000002</v>
      </c>
      <c r="S39" s="175">
        <f t="shared" si="10"/>
        <v>8541948.33</v>
      </c>
      <c r="T39" s="175">
        <f t="shared" si="10"/>
        <v>6744346.28</v>
      </c>
      <c r="U39" s="175">
        <f t="shared" si="10"/>
        <v>110000</v>
      </c>
      <c r="V39" s="175">
        <f t="shared" si="10"/>
        <v>0</v>
      </c>
      <c r="W39" s="175">
        <f t="shared" si="10"/>
        <v>0</v>
      </c>
      <c r="X39" s="175">
        <f t="shared" si="10"/>
        <v>20745187.960000005</v>
      </c>
    </row>
    <row r="40" spans="1:24" s="131" customFormat="1" ht="26.25" customHeight="1">
      <c r="A40" s="133" t="s">
        <v>476</v>
      </c>
      <c r="B40" s="159" t="s">
        <v>529</v>
      </c>
      <c r="C40" s="159" t="s">
        <v>529</v>
      </c>
      <c r="D40" s="163">
        <f>SUM(D41:D82)</f>
        <v>20745187.960000005</v>
      </c>
      <c r="E40" s="163"/>
      <c r="F40" s="163">
        <f>SUM(F41:F82)</f>
        <v>20745187.960000005</v>
      </c>
      <c r="G40" s="163">
        <f>SUM(G41:G82)</f>
        <v>20745187.960000005</v>
      </c>
      <c r="H40" s="177">
        <f>SUM(H41:H82)</f>
        <v>1998409.71</v>
      </c>
      <c r="I40" s="225"/>
      <c r="J40" s="214">
        <f t="shared" si="8"/>
        <v>9.684475440077357</v>
      </c>
      <c r="K40" s="217"/>
      <c r="L40" s="220">
        <f t="shared" si="3"/>
        <v>18636778.25</v>
      </c>
      <c r="M40" s="201">
        <f>SUM(M41:M82)</f>
        <v>471102.4199999999</v>
      </c>
      <c r="N40" s="177">
        <f aca="true" t="shared" si="11" ref="N40:W40">SUM(N41:N82)</f>
        <v>0</v>
      </c>
      <c r="O40" s="177">
        <f t="shared" si="11"/>
        <v>0</v>
      </c>
      <c r="P40" s="177">
        <f t="shared" si="11"/>
        <v>446782.66</v>
      </c>
      <c r="Q40" s="177">
        <f t="shared" si="11"/>
        <v>2622872.3</v>
      </c>
      <c r="R40" s="177">
        <f t="shared" si="11"/>
        <v>1808135.9700000002</v>
      </c>
      <c r="S40" s="177">
        <f t="shared" si="11"/>
        <v>8541948.33</v>
      </c>
      <c r="T40" s="177">
        <f t="shared" si="11"/>
        <v>6744346.28</v>
      </c>
      <c r="U40" s="177">
        <f t="shared" si="11"/>
        <v>110000</v>
      </c>
      <c r="V40" s="177">
        <f t="shared" si="11"/>
        <v>0</v>
      </c>
      <c r="W40" s="177">
        <f t="shared" si="11"/>
        <v>0</v>
      </c>
      <c r="X40" s="177">
        <f>SUM(X41:X82)</f>
        <v>20745187.960000005</v>
      </c>
    </row>
    <row r="41" spans="1:24" s="131" customFormat="1" ht="37.5">
      <c r="A41" s="133"/>
      <c r="B41" s="159"/>
      <c r="C41" s="137" t="s">
        <v>120</v>
      </c>
      <c r="D41" s="160">
        <f aca="true" t="shared" si="12" ref="D41:D82">F41</f>
        <v>270716.12</v>
      </c>
      <c r="E41" s="130"/>
      <c r="F41" s="155">
        <f aca="true" t="shared" si="13" ref="F41:F82">G41</f>
        <v>270716.12</v>
      </c>
      <c r="G41" s="155">
        <f>49960.56+220755.56</f>
        <v>270716.12</v>
      </c>
      <c r="H41" s="204">
        <f>49960.56</f>
        <v>49960.56</v>
      </c>
      <c r="I41" s="222"/>
      <c r="J41" s="209">
        <f t="shared" si="8"/>
        <v>18.4549630808834</v>
      </c>
      <c r="K41" s="216"/>
      <c r="L41" s="221">
        <f t="shared" si="3"/>
        <v>220755.56</v>
      </c>
      <c r="M41" s="202">
        <v>49960.56</v>
      </c>
      <c r="N41" s="174"/>
      <c r="O41" s="174"/>
      <c r="P41" s="178">
        <v>100000</v>
      </c>
      <c r="Q41" s="178">
        <v>120755.56</v>
      </c>
      <c r="R41" s="174"/>
      <c r="S41" s="174"/>
      <c r="T41" s="174"/>
      <c r="U41" s="174"/>
      <c r="V41" s="174"/>
      <c r="W41" s="174"/>
      <c r="X41" s="182">
        <f>SUM(M41:W41)</f>
        <v>270716.12</v>
      </c>
    </row>
    <row r="42" spans="1:24" s="131" customFormat="1" ht="37.5">
      <c r="A42" s="133"/>
      <c r="B42" s="159"/>
      <c r="C42" s="137" t="s">
        <v>121</v>
      </c>
      <c r="D42" s="160">
        <f t="shared" si="12"/>
        <v>157297.6</v>
      </c>
      <c r="E42" s="130"/>
      <c r="F42" s="155">
        <f t="shared" si="13"/>
        <v>157297.6</v>
      </c>
      <c r="G42" s="155">
        <f>8949.6+148000+348</f>
        <v>157297.6</v>
      </c>
      <c r="H42" s="204">
        <f>348+8949.6+75342</f>
        <v>84639.6</v>
      </c>
      <c r="I42" s="222"/>
      <c r="J42" s="209">
        <f t="shared" si="8"/>
        <v>53.808576863219784</v>
      </c>
      <c r="K42" s="216"/>
      <c r="L42" s="221">
        <f t="shared" si="3"/>
        <v>72658</v>
      </c>
      <c r="M42" s="202">
        <v>9297.6</v>
      </c>
      <c r="N42" s="174"/>
      <c r="O42" s="174"/>
      <c r="P42" s="178">
        <v>50000</v>
      </c>
      <c r="Q42" s="178">
        <v>50000</v>
      </c>
      <c r="R42" s="178">
        <v>48000</v>
      </c>
      <c r="S42" s="174"/>
      <c r="T42" s="174"/>
      <c r="U42" s="174"/>
      <c r="V42" s="174"/>
      <c r="W42" s="174"/>
      <c r="X42" s="182">
        <f>SUM(M42:W42)</f>
        <v>157297.6</v>
      </c>
    </row>
    <row r="43" spans="1:24" s="131" customFormat="1" ht="37.5">
      <c r="A43" s="133"/>
      <c r="B43" s="159"/>
      <c r="C43" s="137" t="s">
        <v>521</v>
      </c>
      <c r="D43" s="155">
        <f t="shared" si="12"/>
        <v>9924</v>
      </c>
      <c r="E43" s="155"/>
      <c r="F43" s="155">
        <f t="shared" si="13"/>
        <v>9924</v>
      </c>
      <c r="G43" s="155">
        <v>9924</v>
      </c>
      <c r="H43" s="204">
        <v>9924</v>
      </c>
      <c r="I43" s="222"/>
      <c r="J43" s="209">
        <f t="shared" si="8"/>
        <v>100</v>
      </c>
      <c r="K43" s="216"/>
      <c r="L43" s="221">
        <f t="shared" si="3"/>
        <v>0</v>
      </c>
      <c r="M43" s="202">
        <v>9924</v>
      </c>
      <c r="N43" s="174"/>
      <c r="O43" s="174"/>
      <c r="P43" s="174"/>
      <c r="Q43" s="174"/>
      <c r="R43" s="174"/>
      <c r="S43" s="174"/>
      <c r="T43" s="174"/>
      <c r="U43" s="174"/>
      <c r="V43" s="174"/>
      <c r="W43" s="174"/>
      <c r="X43" s="182">
        <f t="shared" si="4"/>
        <v>9924</v>
      </c>
    </row>
    <row r="44" spans="1:24" s="131" customFormat="1" ht="37.5">
      <c r="A44" s="133"/>
      <c r="B44" s="159"/>
      <c r="C44" s="137" t="s">
        <v>522</v>
      </c>
      <c r="D44" s="155">
        <f t="shared" si="12"/>
        <v>6499.4</v>
      </c>
      <c r="E44" s="155"/>
      <c r="F44" s="155">
        <f t="shared" si="13"/>
        <v>6499.4</v>
      </c>
      <c r="G44" s="155">
        <v>6499.4</v>
      </c>
      <c r="H44" s="204">
        <v>6499.4</v>
      </c>
      <c r="I44" s="222"/>
      <c r="J44" s="209">
        <f t="shared" si="8"/>
        <v>100</v>
      </c>
      <c r="K44" s="216"/>
      <c r="L44" s="221">
        <f t="shared" si="3"/>
        <v>0</v>
      </c>
      <c r="M44" s="202">
        <v>6499.4</v>
      </c>
      <c r="N44" s="174"/>
      <c r="O44" s="174"/>
      <c r="P44" s="174"/>
      <c r="Q44" s="174"/>
      <c r="R44" s="174"/>
      <c r="S44" s="174"/>
      <c r="T44" s="174"/>
      <c r="U44" s="174"/>
      <c r="V44" s="174"/>
      <c r="W44" s="174"/>
      <c r="X44" s="182">
        <f t="shared" si="4"/>
        <v>6499.4</v>
      </c>
    </row>
    <row r="45" spans="1:24" s="131" customFormat="1" ht="37.5">
      <c r="A45" s="133"/>
      <c r="B45" s="159"/>
      <c r="C45" s="137" t="s">
        <v>523</v>
      </c>
      <c r="D45" s="155">
        <f t="shared" si="12"/>
        <v>27770.4</v>
      </c>
      <c r="E45" s="155"/>
      <c r="F45" s="155">
        <f t="shared" si="13"/>
        <v>27770.4</v>
      </c>
      <c r="G45" s="155">
        <v>27770.4</v>
      </c>
      <c r="H45" s="204">
        <v>27770.4</v>
      </c>
      <c r="I45" s="222"/>
      <c r="J45" s="209">
        <f t="shared" si="8"/>
        <v>100</v>
      </c>
      <c r="K45" s="216"/>
      <c r="L45" s="221">
        <f t="shared" si="3"/>
        <v>0</v>
      </c>
      <c r="M45" s="202">
        <v>27770.4</v>
      </c>
      <c r="N45" s="174"/>
      <c r="O45" s="174"/>
      <c r="P45" s="174"/>
      <c r="Q45" s="174"/>
      <c r="R45" s="174"/>
      <c r="S45" s="174"/>
      <c r="T45" s="174"/>
      <c r="U45" s="174"/>
      <c r="V45" s="174"/>
      <c r="W45" s="174"/>
      <c r="X45" s="182">
        <f t="shared" si="4"/>
        <v>27770.4</v>
      </c>
    </row>
    <row r="46" spans="1:24" s="131" customFormat="1" ht="37.5">
      <c r="A46" s="133"/>
      <c r="B46" s="159"/>
      <c r="C46" s="137" t="s">
        <v>122</v>
      </c>
      <c r="D46" s="155">
        <f t="shared" si="12"/>
        <v>285769</v>
      </c>
      <c r="E46" s="155"/>
      <c r="F46" s="155">
        <f t="shared" si="13"/>
        <v>285769</v>
      </c>
      <c r="G46" s="155">
        <f>12769+273000</f>
        <v>285769</v>
      </c>
      <c r="H46" s="204">
        <f>12769+122436.5+118554.5+3568+3957.43</f>
        <v>261285.43</v>
      </c>
      <c r="I46" s="222"/>
      <c r="J46" s="209">
        <f t="shared" si="8"/>
        <v>91.43239119708576</v>
      </c>
      <c r="K46" s="216"/>
      <c r="L46" s="221">
        <f t="shared" si="3"/>
        <v>24483.570000000007</v>
      </c>
      <c r="M46" s="202">
        <v>12769</v>
      </c>
      <c r="N46" s="174"/>
      <c r="O46" s="174"/>
      <c r="P46" s="178">
        <v>90000</v>
      </c>
      <c r="Q46" s="178">
        <v>90000</v>
      </c>
      <c r="R46" s="178">
        <v>93000</v>
      </c>
      <c r="S46" s="178"/>
      <c r="T46" s="174"/>
      <c r="U46" s="174"/>
      <c r="V46" s="174"/>
      <c r="W46" s="174"/>
      <c r="X46" s="182">
        <f t="shared" si="4"/>
        <v>285769</v>
      </c>
    </row>
    <row r="47" spans="1:24" s="131" customFormat="1" ht="27.75" customHeight="1">
      <c r="A47" s="133"/>
      <c r="B47" s="159"/>
      <c r="C47" s="137" t="s">
        <v>123</v>
      </c>
      <c r="D47" s="155">
        <f t="shared" si="12"/>
        <v>299850</v>
      </c>
      <c r="E47" s="155"/>
      <c r="F47" s="155">
        <f t="shared" si="13"/>
        <v>299850</v>
      </c>
      <c r="G47" s="155">
        <f>99850+200000</f>
        <v>299850</v>
      </c>
      <c r="H47" s="204">
        <f>99850</f>
        <v>99850</v>
      </c>
      <c r="I47" s="222"/>
      <c r="J47" s="209">
        <f t="shared" si="8"/>
        <v>33.29998332499583</v>
      </c>
      <c r="K47" s="216"/>
      <c r="L47" s="221">
        <f t="shared" si="3"/>
        <v>200000</v>
      </c>
      <c r="M47" s="202">
        <v>99850</v>
      </c>
      <c r="N47" s="174"/>
      <c r="O47" s="174"/>
      <c r="P47" s="174"/>
      <c r="Q47" s="178">
        <v>70000</v>
      </c>
      <c r="R47" s="178"/>
      <c r="S47" s="178">
        <v>130000</v>
      </c>
      <c r="T47" s="174"/>
      <c r="U47" s="174"/>
      <c r="V47" s="174"/>
      <c r="W47" s="174"/>
      <c r="X47" s="182">
        <f t="shared" si="4"/>
        <v>299850</v>
      </c>
    </row>
    <row r="48" spans="1:24" s="131" customFormat="1" ht="37.5">
      <c r="A48" s="133"/>
      <c r="B48" s="159"/>
      <c r="C48" s="137" t="s">
        <v>524</v>
      </c>
      <c r="D48" s="155">
        <f t="shared" si="12"/>
        <v>32192</v>
      </c>
      <c r="E48" s="155"/>
      <c r="F48" s="155">
        <f t="shared" si="13"/>
        <v>32192</v>
      </c>
      <c r="G48" s="155">
        <v>32192</v>
      </c>
      <c r="H48" s="204">
        <f>32192</f>
        <v>32192</v>
      </c>
      <c r="I48" s="222"/>
      <c r="J48" s="209">
        <f t="shared" si="8"/>
        <v>100</v>
      </c>
      <c r="K48" s="216"/>
      <c r="L48" s="221">
        <f t="shared" si="3"/>
        <v>0</v>
      </c>
      <c r="M48" s="202">
        <v>32192</v>
      </c>
      <c r="N48" s="174"/>
      <c r="O48" s="174"/>
      <c r="P48" s="174"/>
      <c r="Q48" s="174"/>
      <c r="R48" s="174"/>
      <c r="S48" s="174"/>
      <c r="T48" s="174"/>
      <c r="U48" s="174"/>
      <c r="V48" s="174"/>
      <c r="W48" s="174"/>
      <c r="X48" s="182">
        <f t="shared" si="4"/>
        <v>32192</v>
      </c>
    </row>
    <row r="49" spans="1:24" s="131" customFormat="1" ht="37.5" customHeight="1">
      <c r="A49" s="133"/>
      <c r="B49" s="159"/>
      <c r="C49" s="137" t="s">
        <v>525</v>
      </c>
      <c r="D49" s="155">
        <f t="shared" si="12"/>
        <v>825.71</v>
      </c>
      <c r="E49" s="155"/>
      <c r="F49" s="155">
        <f t="shared" si="13"/>
        <v>825.71</v>
      </c>
      <c r="G49" s="155">
        <v>825.71</v>
      </c>
      <c r="H49" s="204">
        <v>825.71</v>
      </c>
      <c r="I49" s="222"/>
      <c r="J49" s="209">
        <f t="shared" si="8"/>
        <v>100</v>
      </c>
      <c r="K49" s="216"/>
      <c r="L49" s="221">
        <f t="shared" si="3"/>
        <v>0</v>
      </c>
      <c r="M49" s="202">
        <v>825.71</v>
      </c>
      <c r="N49" s="174"/>
      <c r="O49" s="174"/>
      <c r="P49" s="174"/>
      <c r="Q49" s="174"/>
      <c r="R49" s="174"/>
      <c r="S49" s="174"/>
      <c r="T49" s="174"/>
      <c r="U49" s="174"/>
      <c r="V49" s="174"/>
      <c r="W49" s="174"/>
      <c r="X49" s="182">
        <f t="shared" si="4"/>
        <v>825.71</v>
      </c>
    </row>
    <row r="50" spans="1:24" s="131" customFormat="1" ht="37.5" customHeight="1">
      <c r="A50" s="133"/>
      <c r="B50" s="159"/>
      <c r="C50" s="137" t="s">
        <v>124</v>
      </c>
      <c r="D50" s="155">
        <f t="shared" si="12"/>
        <v>126325.71</v>
      </c>
      <c r="E50" s="155"/>
      <c r="F50" s="155">
        <f t="shared" si="13"/>
        <v>126325.71</v>
      </c>
      <c r="G50" s="155">
        <f>825.71+125500</f>
        <v>126325.71</v>
      </c>
      <c r="H50" s="204">
        <f>825.71</f>
        <v>825.71</v>
      </c>
      <c r="I50" s="222"/>
      <c r="J50" s="209">
        <f t="shared" si="8"/>
        <v>0.6536357484157421</v>
      </c>
      <c r="K50" s="216"/>
      <c r="L50" s="221">
        <f t="shared" si="3"/>
        <v>125500</v>
      </c>
      <c r="M50" s="202">
        <v>825.71</v>
      </c>
      <c r="N50" s="174"/>
      <c r="O50" s="174"/>
      <c r="P50" s="174"/>
      <c r="Q50" s="178">
        <v>87850</v>
      </c>
      <c r="R50" s="178">
        <v>37650</v>
      </c>
      <c r="S50" s="178"/>
      <c r="T50" s="174"/>
      <c r="U50" s="174"/>
      <c r="V50" s="174"/>
      <c r="W50" s="174"/>
      <c r="X50" s="182">
        <f t="shared" si="4"/>
        <v>126325.71</v>
      </c>
    </row>
    <row r="51" spans="1:24" s="131" customFormat="1" ht="37.5" customHeight="1">
      <c r="A51" s="133"/>
      <c r="B51" s="159"/>
      <c r="C51" s="137" t="s">
        <v>526</v>
      </c>
      <c r="D51" s="155">
        <f t="shared" si="12"/>
        <v>825.71</v>
      </c>
      <c r="E51" s="155"/>
      <c r="F51" s="155">
        <f t="shared" si="13"/>
        <v>825.71</v>
      </c>
      <c r="G51" s="155">
        <v>825.71</v>
      </c>
      <c r="H51" s="204">
        <v>825.71</v>
      </c>
      <c r="I51" s="222"/>
      <c r="J51" s="209">
        <f t="shared" si="8"/>
        <v>100</v>
      </c>
      <c r="K51" s="216"/>
      <c r="L51" s="221">
        <f t="shared" si="3"/>
        <v>0</v>
      </c>
      <c r="M51" s="202">
        <v>825.71</v>
      </c>
      <c r="N51" s="174"/>
      <c r="O51" s="174"/>
      <c r="P51" s="174"/>
      <c r="Q51" s="174"/>
      <c r="R51" s="174"/>
      <c r="S51" s="174"/>
      <c r="T51" s="174"/>
      <c r="U51" s="174"/>
      <c r="V51" s="174"/>
      <c r="W51" s="174"/>
      <c r="X51" s="182">
        <f t="shared" si="4"/>
        <v>825.71</v>
      </c>
    </row>
    <row r="52" spans="1:24" s="131" customFormat="1" ht="37.5" customHeight="1">
      <c r="A52" s="133"/>
      <c r="B52" s="159"/>
      <c r="C52" s="137" t="s">
        <v>125</v>
      </c>
      <c r="D52" s="155">
        <f t="shared" si="12"/>
        <v>137769.11</v>
      </c>
      <c r="E52" s="155"/>
      <c r="F52" s="155">
        <f t="shared" si="13"/>
        <v>137769.11</v>
      </c>
      <c r="G52" s="155">
        <f>95769.11+45000-3000</f>
        <v>137769.11</v>
      </c>
      <c r="H52" s="204">
        <f>95769.11</f>
        <v>95769.11</v>
      </c>
      <c r="I52" s="222"/>
      <c r="J52" s="209">
        <f t="shared" si="8"/>
        <v>69.51421113194388</v>
      </c>
      <c r="K52" s="216"/>
      <c r="L52" s="221">
        <f t="shared" si="3"/>
        <v>41999.999999999985</v>
      </c>
      <c r="M52" s="202">
        <v>95769.11</v>
      </c>
      <c r="N52" s="174"/>
      <c r="O52" s="174"/>
      <c r="P52" s="178">
        <v>15000</v>
      </c>
      <c r="Q52" s="178">
        <v>-3000</v>
      </c>
      <c r="R52" s="178">
        <v>30000</v>
      </c>
      <c r="S52" s="174"/>
      <c r="T52" s="174"/>
      <c r="U52" s="174"/>
      <c r="V52" s="174"/>
      <c r="W52" s="174"/>
      <c r="X52" s="182">
        <f t="shared" si="4"/>
        <v>137769.11</v>
      </c>
    </row>
    <row r="53" spans="1:24" s="226" customFormat="1" ht="60" customHeight="1">
      <c r="A53" s="133"/>
      <c r="B53" s="159"/>
      <c r="C53" s="137" t="s">
        <v>274</v>
      </c>
      <c r="D53" s="155">
        <f t="shared" si="12"/>
        <v>363795</v>
      </c>
      <c r="E53" s="155"/>
      <c r="F53" s="155">
        <f t="shared" si="13"/>
        <v>363795</v>
      </c>
      <c r="G53" s="155">
        <f>11795+352000</f>
        <v>363795</v>
      </c>
      <c r="H53" s="204">
        <f>11795+333655+5391.71</f>
        <v>350841.71</v>
      </c>
      <c r="I53" s="222"/>
      <c r="J53" s="209">
        <f t="shared" si="8"/>
        <v>96.43939856237716</v>
      </c>
      <c r="K53" s="216"/>
      <c r="L53" s="221">
        <f t="shared" si="3"/>
        <v>12953.289999999979</v>
      </c>
      <c r="M53" s="182">
        <v>11795</v>
      </c>
      <c r="N53" s="182"/>
      <c r="O53" s="182"/>
      <c r="P53" s="182"/>
      <c r="Q53" s="182">
        <v>200000</v>
      </c>
      <c r="R53" s="182">
        <v>152000</v>
      </c>
      <c r="S53" s="182"/>
      <c r="T53" s="182"/>
      <c r="U53" s="182"/>
      <c r="V53" s="182"/>
      <c r="W53" s="182"/>
      <c r="X53" s="182">
        <f t="shared" si="4"/>
        <v>363795</v>
      </c>
    </row>
    <row r="54" spans="1:24" s="131" customFormat="1" ht="56.25" customHeight="1">
      <c r="A54" s="133"/>
      <c r="B54" s="159"/>
      <c r="C54" s="137" t="s">
        <v>126</v>
      </c>
      <c r="D54" s="155">
        <f t="shared" si="12"/>
        <v>118605.17000000004</v>
      </c>
      <c r="E54" s="155"/>
      <c r="F54" s="155">
        <f t="shared" si="13"/>
        <v>118605.17000000004</v>
      </c>
      <c r="G54" s="155">
        <f>108605.17+753000-743000</f>
        <v>118605.17000000004</v>
      </c>
      <c r="H54" s="204">
        <f>108605.17</f>
        <v>108605.17</v>
      </c>
      <c r="I54" s="222"/>
      <c r="J54" s="209">
        <f t="shared" si="8"/>
        <v>91.56866433394092</v>
      </c>
      <c r="K54" s="216"/>
      <c r="L54" s="221">
        <f t="shared" si="3"/>
        <v>10000</v>
      </c>
      <c r="M54" s="202">
        <v>108605.17</v>
      </c>
      <c r="N54" s="174"/>
      <c r="O54" s="174"/>
      <c r="P54" s="174"/>
      <c r="Q54" s="178">
        <v>10000</v>
      </c>
      <c r="R54" s="174"/>
      <c r="S54" s="174"/>
      <c r="T54" s="174"/>
      <c r="U54" s="174"/>
      <c r="V54" s="174"/>
      <c r="W54" s="174"/>
      <c r="X54" s="182">
        <f t="shared" si="4"/>
        <v>118605.17</v>
      </c>
    </row>
    <row r="55" spans="1:24" s="131" customFormat="1" ht="37.5" customHeight="1">
      <c r="A55" s="133"/>
      <c r="B55" s="159"/>
      <c r="C55" s="137" t="s">
        <v>127</v>
      </c>
      <c r="D55" s="155">
        <f t="shared" si="12"/>
        <v>6293.05</v>
      </c>
      <c r="E55" s="155"/>
      <c r="F55" s="155">
        <f t="shared" si="13"/>
        <v>6293.05</v>
      </c>
      <c r="G55" s="155">
        <f>4193.05+2100</f>
        <v>6293.05</v>
      </c>
      <c r="H55" s="204">
        <f>4193.05+2051.95</f>
        <v>6245</v>
      </c>
      <c r="I55" s="222"/>
      <c r="J55" s="209">
        <f t="shared" si="8"/>
        <v>99.23645926855816</v>
      </c>
      <c r="K55" s="216"/>
      <c r="L55" s="221">
        <f t="shared" si="3"/>
        <v>48.05000000000018</v>
      </c>
      <c r="M55" s="202">
        <v>4193.05</v>
      </c>
      <c r="N55" s="174"/>
      <c r="O55" s="174"/>
      <c r="P55" s="178">
        <v>2100</v>
      </c>
      <c r="Q55" s="174"/>
      <c r="R55" s="174"/>
      <c r="S55" s="174"/>
      <c r="T55" s="174"/>
      <c r="U55" s="174"/>
      <c r="V55" s="174"/>
      <c r="W55" s="174"/>
      <c r="X55" s="182">
        <f t="shared" si="4"/>
        <v>6293.05</v>
      </c>
    </row>
    <row r="56" spans="1:24" s="131" customFormat="1" ht="18.75" hidden="1">
      <c r="A56" s="138"/>
      <c r="B56" s="138"/>
      <c r="C56" s="137"/>
      <c r="D56" s="155">
        <f t="shared" si="12"/>
        <v>0</v>
      </c>
      <c r="E56" s="155"/>
      <c r="F56" s="155">
        <f t="shared" si="13"/>
        <v>0</v>
      </c>
      <c r="G56" s="155"/>
      <c r="H56" s="204"/>
      <c r="I56" s="222"/>
      <c r="J56" s="209" t="e">
        <f t="shared" si="8"/>
        <v>#DIV/0!</v>
      </c>
      <c r="K56" s="216"/>
      <c r="L56" s="221">
        <f t="shared" si="3"/>
        <v>0</v>
      </c>
      <c r="M56" s="188"/>
      <c r="N56" s="174"/>
      <c r="O56" s="174"/>
      <c r="P56" s="174"/>
      <c r="Q56" s="174"/>
      <c r="R56" s="174"/>
      <c r="S56" s="174"/>
      <c r="T56" s="174"/>
      <c r="U56" s="174"/>
      <c r="V56" s="174"/>
      <c r="W56" s="174"/>
      <c r="X56" s="182">
        <f t="shared" si="4"/>
        <v>0</v>
      </c>
    </row>
    <row r="57" spans="1:24" s="131" customFormat="1" ht="37.5">
      <c r="A57" s="138"/>
      <c r="B57" s="138"/>
      <c r="C57" s="137" t="s">
        <v>392</v>
      </c>
      <c r="D57" s="155">
        <f t="shared" si="12"/>
        <v>185000</v>
      </c>
      <c r="E57" s="155"/>
      <c r="F57" s="155">
        <f t="shared" si="13"/>
        <v>185000</v>
      </c>
      <c r="G57" s="155">
        <v>185000</v>
      </c>
      <c r="H57" s="204">
        <v>0</v>
      </c>
      <c r="I57" s="222"/>
      <c r="J57" s="209"/>
      <c r="K57" s="216"/>
      <c r="L57" s="221">
        <f t="shared" si="3"/>
        <v>185000</v>
      </c>
      <c r="M57" s="202"/>
      <c r="N57" s="178"/>
      <c r="O57" s="178"/>
      <c r="P57" s="178"/>
      <c r="Q57" s="178">
        <v>185000</v>
      </c>
      <c r="R57" s="178"/>
      <c r="S57" s="178"/>
      <c r="T57" s="178"/>
      <c r="U57" s="178"/>
      <c r="V57" s="178"/>
      <c r="W57" s="178"/>
      <c r="X57" s="182">
        <f t="shared" si="4"/>
        <v>185000</v>
      </c>
    </row>
    <row r="58" spans="1:24" s="131" customFormat="1" ht="25.5" customHeight="1">
      <c r="A58" s="138"/>
      <c r="B58" s="138"/>
      <c r="C58" s="137" t="s">
        <v>128</v>
      </c>
      <c r="D58" s="155">
        <f t="shared" si="12"/>
        <v>200000</v>
      </c>
      <c r="E58" s="155"/>
      <c r="F58" s="155">
        <f t="shared" si="13"/>
        <v>200000</v>
      </c>
      <c r="G58" s="155">
        <f>200000</f>
        <v>200000</v>
      </c>
      <c r="H58" s="204">
        <v>0</v>
      </c>
      <c r="I58" s="222"/>
      <c r="J58" s="209"/>
      <c r="K58" s="216"/>
      <c r="L58" s="221">
        <f t="shared" si="3"/>
        <v>200000</v>
      </c>
      <c r="M58" s="202"/>
      <c r="N58" s="178"/>
      <c r="O58" s="178"/>
      <c r="P58" s="178"/>
      <c r="Q58" s="178"/>
      <c r="R58" s="178"/>
      <c r="S58" s="178">
        <v>100000</v>
      </c>
      <c r="T58" s="178">
        <v>100000</v>
      </c>
      <c r="U58" s="178"/>
      <c r="V58" s="178"/>
      <c r="W58" s="178"/>
      <c r="X58" s="182">
        <f t="shared" si="4"/>
        <v>200000</v>
      </c>
    </row>
    <row r="59" spans="1:24" s="131" customFormat="1" ht="18.75">
      <c r="A59" s="138"/>
      <c r="B59" s="138"/>
      <c r="C59" s="137" t="s">
        <v>129</v>
      </c>
      <c r="D59" s="155">
        <f t="shared" si="12"/>
        <v>5800000</v>
      </c>
      <c r="E59" s="155"/>
      <c r="F59" s="155">
        <f t="shared" si="13"/>
        <v>5800000</v>
      </c>
      <c r="G59" s="155">
        <f>2300000+3500000</f>
        <v>5800000</v>
      </c>
      <c r="H59" s="204">
        <v>12525.6</v>
      </c>
      <c r="I59" s="222"/>
      <c r="J59" s="209">
        <f>H59/(M59+N59+O59+P59+Q59+R59+S59+T59)*100</f>
        <v>0.21595862068965518</v>
      </c>
      <c r="K59" s="216"/>
      <c r="L59" s="221">
        <f t="shared" si="3"/>
        <v>5787474.4</v>
      </c>
      <c r="M59" s="202"/>
      <c r="N59" s="178"/>
      <c r="O59" s="178"/>
      <c r="P59" s="178"/>
      <c r="Q59" s="178">
        <v>760000</v>
      </c>
      <c r="R59" s="178">
        <v>760000</v>
      </c>
      <c r="S59" s="178">
        <f>780000+1750000</f>
        <v>2530000</v>
      </c>
      <c r="T59" s="178">
        <f>1750000</f>
        <v>1750000</v>
      </c>
      <c r="U59" s="178"/>
      <c r="V59" s="178"/>
      <c r="W59" s="178"/>
      <c r="X59" s="182">
        <f t="shared" si="4"/>
        <v>5800000</v>
      </c>
    </row>
    <row r="60" spans="1:24" s="131" customFormat="1" ht="37.5">
      <c r="A60" s="138"/>
      <c r="B60" s="138"/>
      <c r="C60" s="137" t="s">
        <v>130</v>
      </c>
      <c r="D60" s="155">
        <f t="shared" si="12"/>
        <v>100000</v>
      </c>
      <c r="E60" s="155"/>
      <c r="F60" s="155">
        <f t="shared" si="13"/>
        <v>100000</v>
      </c>
      <c r="G60" s="155">
        <v>100000</v>
      </c>
      <c r="H60" s="204">
        <f>1040.4</f>
        <v>1040.4</v>
      </c>
      <c r="I60" s="222"/>
      <c r="J60" s="209">
        <f t="shared" si="8"/>
        <v>1.0404</v>
      </c>
      <c r="K60" s="216"/>
      <c r="L60" s="221">
        <f t="shared" si="3"/>
        <v>98959.6</v>
      </c>
      <c r="M60" s="202"/>
      <c r="N60" s="178"/>
      <c r="O60" s="178"/>
      <c r="P60" s="178"/>
      <c r="Q60" s="178">
        <v>30000</v>
      </c>
      <c r="R60" s="178"/>
      <c r="S60" s="178">
        <v>70000</v>
      </c>
      <c r="T60" s="178"/>
      <c r="U60" s="178"/>
      <c r="V60" s="178"/>
      <c r="W60" s="178"/>
      <c r="X60" s="182">
        <f t="shared" si="4"/>
        <v>100000</v>
      </c>
    </row>
    <row r="61" spans="1:24" s="131" customFormat="1" ht="37.5">
      <c r="A61" s="138"/>
      <c r="B61" s="138"/>
      <c r="C61" s="137" t="s">
        <v>131</v>
      </c>
      <c r="D61" s="155">
        <f t="shared" si="12"/>
        <v>100000</v>
      </c>
      <c r="E61" s="155"/>
      <c r="F61" s="155">
        <f t="shared" si="13"/>
        <v>100000</v>
      </c>
      <c r="G61" s="155">
        <v>100000</v>
      </c>
      <c r="H61" s="204">
        <f>1038</f>
        <v>1038</v>
      </c>
      <c r="I61" s="222"/>
      <c r="J61" s="209">
        <f t="shared" si="8"/>
        <v>1.038</v>
      </c>
      <c r="K61" s="216"/>
      <c r="L61" s="221">
        <f t="shared" si="3"/>
        <v>98962</v>
      </c>
      <c r="M61" s="202"/>
      <c r="N61" s="178"/>
      <c r="O61" s="178"/>
      <c r="P61" s="178"/>
      <c r="Q61" s="178">
        <v>29000</v>
      </c>
      <c r="R61" s="178"/>
      <c r="S61" s="178">
        <v>71000</v>
      </c>
      <c r="T61" s="178"/>
      <c r="U61" s="178"/>
      <c r="V61" s="178"/>
      <c r="W61" s="178"/>
      <c r="X61" s="182">
        <f t="shared" si="4"/>
        <v>100000</v>
      </c>
    </row>
    <row r="62" spans="1:24" s="131" customFormat="1" ht="37.5">
      <c r="A62" s="138"/>
      <c r="B62" s="138"/>
      <c r="C62" s="137" t="s">
        <v>132</v>
      </c>
      <c r="D62" s="155">
        <f t="shared" si="12"/>
        <v>3741000</v>
      </c>
      <c r="E62" s="155"/>
      <c r="F62" s="155">
        <f t="shared" si="13"/>
        <v>3741000</v>
      </c>
      <c r="G62" s="155">
        <f>100000+3641000</f>
        <v>3741000</v>
      </c>
      <c r="H62" s="204">
        <f>1365.6</f>
        <v>1365.6</v>
      </c>
      <c r="I62" s="222"/>
      <c r="J62" s="209">
        <f t="shared" si="8"/>
        <v>0.036503608660785884</v>
      </c>
      <c r="K62" s="216"/>
      <c r="L62" s="221">
        <f t="shared" si="3"/>
        <v>3739634.4</v>
      </c>
      <c r="M62" s="202"/>
      <c r="N62" s="178"/>
      <c r="O62" s="178"/>
      <c r="P62" s="178"/>
      <c r="Q62" s="178">
        <v>10000</v>
      </c>
      <c r="R62" s="178"/>
      <c r="S62" s="178">
        <f>90000+1820500</f>
        <v>1910500</v>
      </c>
      <c r="T62" s="178">
        <f>1820500</f>
        <v>1820500</v>
      </c>
      <c r="U62" s="178"/>
      <c r="V62" s="178"/>
      <c r="W62" s="178"/>
      <c r="X62" s="182">
        <f t="shared" si="4"/>
        <v>3741000</v>
      </c>
    </row>
    <row r="63" spans="1:24" s="131" customFormat="1" ht="37.5">
      <c r="A63" s="138"/>
      <c r="B63" s="138"/>
      <c r="C63" s="137" t="s">
        <v>133</v>
      </c>
      <c r="D63" s="155">
        <f t="shared" si="12"/>
        <v>100000</v>
      </c>
      <c r="E63" s="155"/>
      <c r="F63" s="155">
        <f t="shared" si="13"/>
        <v>100000</v>
      </c>
      <c r="G63" s="155">
        <v>100000</v>
      </c>
      <c r="H63" s="204">
        <f>1004.4</f>
        <v>1004.4</v>
      </c>
      <c r="I63" s="222"/>
      <c r="J63" s="209">
        <f t="shared" si="8"/>
        <v>1.0044</v>
      </c>
      <c r="K63" s="216"/>
      <c r="L63" s="221">
        <f t="shared" si="3"/>
        <v>98995.6</v>
      </c>
      <c r="M63" s="202"/>
      <c r="N63" s="178"/>
      <c r="O63" s="178"/>
      <c r="P63" s="178"/>
      <c r="Q63" s="178">
        <v>55000</v>
      </c>
      <c r="R63" s="178"/>
      <c r="S63" s="178">
        <v>45000</v>
      </c>
      <c r="T63" s="178"/>
      <c r="U63" s="178"/>
      <c r="V63" s="178"/>
      <c r="W63" s="178"/>
      <c r="X63" s="182">
        <f t="shared" si="4"/>
        <v>100000</v>
      </c>
    </row>
    <row r="64" spans="1:24" s="131" customFormat="1" ht="37.5">
      <c r="A64" s="138"/>
      <c r="B64" s="138"/>
      <c r="C64" s="137" t="s">
        <v>134</v>
      </c>
      <c r="D64" s="155">
        <f t="shared" si="12"/>
        <v>2100000</v>
      </c>
      <c r="E64" s="155"/>
      <c r="F64" s="155">
        <f t="shared" si="13"/>
        <v>2100000</v>
      </c>
      <c r="G64" s="155">
        <f>100000+2000000</f>
        <v>2100000</v>
      </c>
      <c r="H64" s="204">
        <f>1239.6</f>
        <v>1239.6</v>
      </c>
      <c r="I64" s="222"/>
      <c r="J64" s="209">
        <f t="shared" si="8"/>
        <v>0.059028571428571416</v>
      </c>
      <c r="K64" s="216"/>
      <c r="L64" s="221">
        <f t="shared" si="3"/>
        <v>2098760.4</v>
      </c>
      <c r="M64" s="202"/>
      <c r="N64" s="178"/>
      <c r="O64" s="178"/>
      <c r="P64" s="178"/>
      <c r="Q64" s="178">
        <v>20000</v>
      </c>
      <c r="R64" s="178"/>
      <c r="S64" s="178">
        <f>80000+1000000</f>
        <v>1080000</v>
      </c>
      <c r="T64" s="178">
        <v>1000000</v>
      </c>
      <c r="U64" s="178"/>
      <c r="V64" s="178"/>
      <c r="W64" s="178"/>
      <c r="X64" s="182">
        <f t="shared" si="4"/>
        <v>2100000</v>
      </c>
    </row>
    <row r="65" spans="1:24" s="131" customFormat="1" ht="37.5">
      <c r="A65" s="138"/>
      <c r="B65" s="138"/>
      <c r="C65" s="137" t="s">
        <v>135</v>
      </c>
      <c r="D65" s="155">
        <f t="shared" si="12"/>
        <v>2958000</v>
      </c>
      <c r="E65" s="155"/>
      <c r="F65" s="155">
        <f t="shared" si="13"/>
        <v>2958000</v>
      </c>
      <c r="G65" s="155">
        <f>100000+2858000</f>
        <v>2958000</v>
      </c>
      <c r="H65" s="204">
        <f>1128</f>
        <v>1128</v>
      </c>
      <c r="I65" s="222"/>
      <c r="J65" s="209">
        <f t="shared" si="8"/>
        <v>0.03813387423935091</v>
      </c>
      <c r="K65" s="216"/>
      <c r="L65" s="221">
        <f t="shared" si="3"/>
        <v>2956872</v>
      </c>
      <c r="M65" s="202"/>
      <c r="N65" s="178"/>
      <c r="O65" s="178"/>
      <c r="P65" s="178"/>
      <c r="Q65" s="178">
        <v>20000</v>
      </c>
      <c r="R65" s="178"/>
      <c r="S65" s="178">
        <f>80000+1429000</f>
        <v>1509000</v>
      </c>
      <c r="T65" s="178">
        <f>1429000</f>
        <v>1429000</v>
      </c>
      <c r="U65" s="178"/>
      <c r="V65" s="178"/>
      <c r="W65" s="178"/>
      <c r="X65" s="182">
        <f t="shared" si="4"/>
        <v>2958000</v>
      </c>
    </row>
    <row r="66" spans="1:24" s="131" customFormat="1" ht="18.75">
      <c r="A66" s="138"/>
      <c r="B66" s="138"/>
      <c r="C66" s="137" t="s">
        <v>136</v>
      </c>
      <c r="D66" s="155">
        <f t="shared" si="12"/>
        <v>200000</v>
      </c>
      <c r="E66" s="155"/>
      <c r="F66" s="155">
        <f t="shared" si="13"/>
        <v>200000</v>
      </c>
      <c r="G66" s="155">
        <v>200000</v>
      </c>
      <c r="H66" s="204">
        <f>9087-5997+1281.6</f>
        <v>4371.6</v>
      </c>
      <c r="I66" s="222"/>
      <c r="J66" s="209">
        <f t="shared" si="8"/>
        <v>2.1858000000000004</v>
      </c>
      <c r="K66" s="216"/>
      <c r="L66" s="221">
        <f t="shared" si="3"/>
        <v>195628.4</v>
      </c>
      <c r="M66" s="202"/>
      <c r="N66" s="178"/>
      <c r="O66" s="178"/>
      <c r="P66" s="178"/>
      <c r="Q66" s="178">
        <v>10000</v>
      </c>
      <c r="R66" s="178"/>
      <c r="S66" s="178">
        <v>190000</v>
      </c>
      <c r="T66" s="178"/>
      <c r="U66" s="178"/>
      <c r="V66" s="178"/>
      <c r="W66" s="178"/>
      <c r="X66" s="182">
        <f t="shared" si="4"/>
        <v>200000</v>
      </c>
    </row>
    <row r="67" spans="1:24" s="131" customFormat="1" ht="18.75">
      <c r="A67" s="138"/>
      <c r="B67" s="138"/>
      <c r="C67" s="137" t="s">
        <v>137</v>
      </c>
      <c r="D67" s="155">
        <f t="shared" si="12"/>
        <v>12893.28</v>
      </c>
      <c r="E67" s="155"/>
      <c r="F67" s="155">
        <f t="shared" si="13"/>
        <v>12893.28</v>
      </c>
      <c r="G67" s="155">
        <v>12893.28</v>
      </c>
      <c r="H67" s="204">
        <v>0</v>
      </c>
      <c r="I67" s="222"/>
      <c r="J67" s="209"/>
      <c r="K67" s="216"/>
      <c r="L67" s="221">
        <f t="shared" si="3"/>
        <v>12893.28</v>
      </c>
      <c r="M67" s="202"/>
      <c r="N67" s="178"/>
      <c r="O67" s="178"/>
      <c r="P67" s="178"/>
      <c r="Q67" s="178"/>
      <c r="R67" s="178"/>
      <c r="S67" s="178"/>
      <c r="T67" s="178">
        <v>12893.28</v>
      </c>
      <c r="U67" s="178"/>
      <c r="V67" s="178"/>
      <c r="W67" s="178"/>
      <c r="X67" s="182">
        <f t="shared" si="4"/>
        <v>12893.28</v>
      </c>
    </row>
    <row r="68" spans="1:24" s="131" customFormat="1" ht="37.5">
      <c r="A68" s="138"/>
      <c r="B68" s="138"/>
      <c r="C68" s="137" t="s">
        <v>138</v>
      </c>
      <c r="D68" s="155">
        <f t="shared" si="12"/>
        <v>114998.6</v>
      </c>
      <c r="E68" s="155"/>
      <c r="F68" s="155">
        <f t="shared" si="13"/>
        <v>114998.6</v>
      </c>
      <c r="G68" s="155">
        <v>114998.6</v>
      </c>
      <c r="H68" s="204">
        <v>0</v>
      </c>
      <c r="I68" s="222"/>
      <c r="J68" s="209"/>
      <c r="K68" s="216"/>
      <c r="L68" s="221">
        <f t="shared" si="3"/>
        <v>114998.6</v>
      </c>
      <c r="M68" s="202"/>
      <c r="N68" s="178"/>
      <c r="O68" s="178"/>
      <c r="P68" s="178"/>
      <c r="Q68" s="178"/>
      <c r="R68" s="178">
        <v>60000</v>
      </c>
      <c r="S68" s="178">
        <v>54998.6</v>
      </c>
      <c r="T68" s="178"/>
      <c r="U68" s="178"/>
      <c r="V68" s="178"/>
      <c r="W68" s="178"/>
      <c r="X68" s="182">
        <f t="shared" si="4"/>
        <v>114998.6</v>
      </c>
    </row>
    <row r="69" spans="1:24" s="131" customFormat="1" ht="37.5">
      <c r="A69" s="138"/>
      <c r="B69" s="138"/>
      <c r="C69" s="137" t="s">
        <v>139</v>
      </c>
      <c r="D69" s="155">
        <f t="shared" si="12"/>
        <v>117496.73</v>
      </c>
      <c r="E69" s="155"/>
      <c r="F69" s="155">
        <f t="shared" si="13"/>
        <v>117496.73</v>
      </c>
      <c r="G69" s="155">
        <v>117496.73</v>
      </c>
      <c r="H69" s="204">
        <v>0</v>
      </c>
      <c r="I69" s="222"/>
      <c r="J69" s="209"/>
      <c r="K69" s="216"/>
      <c r="L69" s="221">
        <f t="shared" si="3"/>
        <v>117496.73000000001</v>
      </c>
      <c r="M69" s="202"/>
      <c r="N69" s="178"/>
      <c r="O69" s="178"/>
      <c r="P69" s="178"/>
      <c r="Q69" s="178"/>
      <c r="R69" s="178">
        <v>60000</v>
      </c>
      <c r="S69" s="178">
        <v>57496.73</v>
      </c>
      <c r="T69" s="178"/>
      <c r="U69" s="178"/>
      <c r="V69" s="178"/>
      <c r="W69" s="178"/>
      <c r="X69" s="182">
        <f t="shared" si="4"/>
        <v>117496.73000000001</v>
      </c>
    </row>
    <row r="70" spans="1:24" s="131" customFormat="1" ht="18.75">
      <c r="A70" s="138"/>
      <c r="B70" s="138"/>
      <c r="C70" s="137" t="s">
        <v>140</v>
      </c>
      <c r="D70" s="155">
        <f t="shared" si="12"/>
        <v>310611.39</v>
      </c>
      <c r="E70" s="155"/>
      <c r="F70" s="155">
        <f t="shared" si="13"/>
        <v>310611.39</v>
      </c>
      <c r="G70" s="155">
        <v>310611.39</v>
      </c>
      <c r="H70" s="204">
        <f>146584.2</f>
        <v>146584.2</v>
      </c>
      <c r="I70" s="222"/>
      <c r="J70" s="209">
        <f t="shared" si="8"/>
        <v>47.192152225969565</v>
      </c>
      <c r="K70" s="216"/>
      <c r="L70" s="221">
        <f t="shared" si="3"/>
        <v>164027.19</v>
      </c>
      <c r="M70" s="202"/>
      <c r="N70" s="178"/>
      <c r="O70" s="178"/>
      <c r="P70" s="178"/>
      <c r="Q70" s="178">
        <v>155000</v>
      </c>
      <c r="R70" s="178">
        <v>155611.39</v>
      </c>
      <c r="S70" s="178"/>
      <c r="T70" s="178"/>
      <c r="U70" s="178"/>
      <c r="V70" s="178"/>
      <c r="W70" s="178"/>
      <c r="X70" s="182">
        <f t="shared" si="4"/>
        <v>310611.39</v>
      </c>
    </row>
    <row r="71" spans="1:24" s="131" customFormat="1" ht="18.75">
      <c r="A71" s="138"/>
      <c r="B71" s="138"/>
      <c r="C71" s="137" t="s">
        <v>141</v>
      </c>
      <c r="D71" s="155">
        <f t="shared" si="12"/>
        <v>100000</v>
      </c>
      <c r="E71" s="155"/>
      <c r="F71" s="155">
        <f t="shared" si="13"/>
        <v>100000</v>
      </c>
      <c r="G71" s="155">
        <v>100000</v>
      </c>
      <c r="H71" s="204">
        <f>1334.4</f>
        <v>1334.4</v>
      </c>
      <c r="I71" s="222"/>
      <c r="J71" s="209">
        <f t="shared" si="8"/>
        <v>1.3344000000000003</v>
      </c>
      <c r="K71" s="216"/>
      <c r="L71" s="221">
        <f t="shared" si="3"/>
        <v>98665.6</v>
      </c>
      <c r="M71" s="202"/>
      <c r="N71" s="178"/>
      <c r="O71" s="178"/>
      <c r="P71" s="178"/>
      <c r="Q71" s="178">
        <v>30000</v>
      </c>
      <c r="R71" s="178"/>
      <c r="S71" s="178">
        <v>70000</v>
      </c>
      <c r="T71" s="178"/>
      <c r="U71" s="178"/>
      <c r="V71" s="178"/>
      <c r="W71" s="178"/>
      <c r="X71" s="182">
        <f t="shared" si="4"/>
        <v>100000</v>
      </c>
    </row>
    <row r="72" spans="1:24" s="131" customFormat="1" ht="37.5">
      <c r="A72" s="138"/>
      <c r="B72" s="138"/>
      <c r="C72" s="137" t="s">
        <v>142</v>
      </c>
      <c r="D72" s="155">
        <f t="shared" si="12"/>
        <v>11780</v>
      </c>
      <c r="E72" s="155"/>
      <c r="F72" s="155">
        <f t="shared" si="13"/>
        <v>11780</v>
      </c>
      <c r="G72" s="155">
        <v>11780</v>
      </c>
      <c r="H72" s="204">
        <v>0</v>
      </c>
      <c r="I72" s="222"/>
      <c r="J72" s="209"/>
      <c r="K72" s="216"/>
      <c r="L72" s="221">
        <f t="shared" si="3"/>
        <v>11780</v>
      </c>
      <c r="M72" s="202"/>
      <c r="N72" s="178"/>
      <c r="O72" s="178"/>
      <c r="P72" s="178">
        <v>11780</v>
      </c>
      <c r="Q72" s="178"/>
      <c r="R72" s="178"/>
      <c r="S72" s="178"/>
      <c r="T72" s="178"/>
      <c r="U72" s="178"/>
      <c r="V72" s="178"/>
      <c r="W72" s="178"/>
      <c r="X72" s="182">
        <f t="shared" si="4"/>
        <v>11780</v>
      </c>
    </row>
    <row r="73" spans="1:24" s="131" customFormat="1" ht="37.5">
      <c r="A73" s="138"/>
      <c r="B73" s="138"/>
      <c r="C73" s="137" t="s">
        <v>143</v>
      </c>
      <c r="D73" s="155">
        <f t="shared" si="12"/>
        <v>123266.74</v>
      </c>
      <c r="E73" s="155"/>
      <c r="F73" s="155">
        <f t="shared" si="13"/>
        <v>123266.74</v>
      </c>
      <c r="G73" s="155">
        <v>123266.74</v>
      </c>
      <c r="H73" s="204">
        <f>54847.2+36835.2+1415.57</f>
        <v>93097.97</v>
      </c>
      <c r="I73" s="222"/>
      <c r="J73" s="209">
        <f t="shared" si="8"/>
        <v>75.52562029303282</v>
      </c>
      <c r="K73" s="216"/>
      <c r="L73" s="221">
        <f t="shared" si="3"/>
        <v>30168.770000000004</v>
      </c>
      <c r="M73" s="202"/>
      <c r="N73" s="178"/>
      <c r="O73" s="178"/>
      <c r="P73" s="178"/>
      <c r="Q73" s="178">
        <v>123266.74</v>
      </c>
      <c r="R73" s="178"/>
      <c r="S73" s="178"/>
      <c r="T73" s="178"/>
      <c r="U73" s="178"/>
      <c r="V73" s="178"/>
      <c r="W73" s="178"/>
      <c r="X73" s="182">
        <f t="shared" si="4"/>
        <v>123266.74</v>
      </c>
    </row>
    <row r="74" spans="1:24" s="131" customFormat="1" ht="37.5">
      <c r="A74" s="138"/>
      <c r="B74" s="138"/>
      <c r="C74" s="137" t="s">
        <v>144</v>
      </c>
      <c r="D74" s="155">
        <f t="shared" si="12"/>
        <v>1151906</v>
      </c>
      <c r="E74" s="155"/>
      <c r="F74" s="155">
        <f t="shared" si="13"/>
        <v>1151906</v>
      </c>
      <c r="G74" s="155">
        <f>416000+735906</f>
        <v>1151906</v>
      </c>
      <c r="H74" s="204">
        <f>14777+174875+355039.6</f>
        <v>544691.6</v>
      </c>
      <c r="I74" s="222"/>
      <c r="J74" s="209">
        <f t="shared" si="8"/>
        <v>47.28611536010751</v>
      </c>
      <c r="K74" s="216"/>
      <c r="L74" s="221">
        <f aca="true" t="shared" si="14" ref="L74:L83">M74+N74+O74+P74+Q74+R74+S74+T74-H74</f>
        <v>607214.4</v>
      </c>
      <c r="M74" s="202"/>
      <c r="N74" s="178"/>
      <c r="O74" s="178"/>
      <c r="P74" s="178">
        <v>20000</v>
      </c>
      <c r="Q74" s="178">
        <v>200000</v>
      </c>
      <c r="R74" s="178">
        <v>100000</v>
      </c>
      <c r="S74" s="178">
        <f>96000+367953</f>
        <v>463953</v>
      </c>
      <c r="T74" s="178">
        <v>367953</v>
      </c>
      <c r="U74" s="178"/>
      <c r="V74" s="178"/>
      <c r="W74" s="178"/>
      <c r="X74" s="182">
        <f t="shared" si="4"/>
        <v>1151906</v>
      </c>
    </row>
    <row r="75" spans="1:24" s="131" customFormat="1" ht="37.5">
      <c r="A75" s="138"/>
      <c r="B75" s="138"/>
      <c r="C75" s="137" t="s">
        <v>145</v>
      </c>
      <c r="D75" s="155">
        <f t="shared" si="12"/>
        <v>8137.29</v>
      </c>
      <c r="E75" s="155"/>
      <c r="F75" s="155">
        <f t="shared" si="13"/>
        <v>8137.29</v>
      </c>
      <c r="G75" s="155">
        <v>8137.29</v>
      </c>
      <c r="H75" s="204">
        <v>0</v>
      </c>
      <c r="I75" s="222"/>
      <c r="J75" s="209"/>
      <c r="K75" s="216"/>
      <c r="L75" s="221">
        <f t="shared" si="14"/>
        <v>8137.29</v>
      </c>
      <c r="M75" s="202"/>
      <c r="N75" s="178"/>
      <c r="O75" s="178"/>
      <c r="P75" s="178">
        <v>8137.29</v>
      </c>
      <c r="Q75" s="178"/>
      <c r="R75" s="178"/>
      <c r="S75" s="178"/>
      <c r="T75" s="178"/>
      <c r="U75" s="178"/>
      <c r="V75" s="178"/>
      <c r="W75" s="178"/>
      <c r="X75" s="182">
        <f aca="true" t="shared" si="15" ref="X75:X82">SUM(M75:W75)</f>
        <v>8137.29</v>
      </c>
    </row>
    <row r="76" spans="1:24" s="131" customFormat="1" ht="37.5">
      <c r="A76" s="138"/>
      <c r="B76" s="138"/>
      <c r="C76" s="137" t="s">
        <v>146</v>
      </c>
      <c r="D76" s="155">
        <f t="shared" si="12"/>
        <v>49765.37</v>
      </c>
      <c r="E76" s="155"/>
      <c r="F76" s="155">
        <f t="shared" si="13"/>
        <v>49765.37</v>
      </c>
      <c r="G76" s="155">
        <v>49765.37</v>
      </c>
      <c r="H76" s="204">
        <v>0</v>
      </c>
      <c r="I76" s="222"/>
      <c r="J76" s="209"/>
      <c r="K76" s="216"/>
      <c r="L76" s="221">
        <f t="shared" si="14"/>
        <v>49765.37</v>
      </c>
      <c r="M76" s="202"/>
      <c r="N76" s="178"/>
      <c r="O76" s="178"/>
      <c r="P76" s="178">
        <v>49765.37</v>
      </c>
      <c r="Q76" s="178"/>
      <c r="R76" s="178"/>
      <c r="S76" s="178"/>
      <c r="T76" s="178"/>
      <c r="U76" s="178"/>
      <c r="V76" s="178"/>
      <c r="W76" s="178"/>
      <c r="X76" s="182">
        <f t="shared" si="15"/>
        <v>49765.37</v>
      </c>
    </row>
    <row r="77" spans="1:24" s="131" customFormat="1" ht="37.5">
      <c r="A77" s="138"/>
      <c r="B77" s="138"/>
      <c r="C77" s="137" t="s">
        <v>147</v>
      </c>
      <c r="D77" s="155">
        <f t="shared" si="12"/>
        <v>109814.8</v>
      </c>
      <c r="E77" s="155"/>
      <c r="F77" s="155">
        <f t="shared" si="13"/>
        <v>109814.8</v>
      </c>
      <c r="G77" s="155">
        <v>109814.8</v>
      </c>
      <c r="H77" s="204">
        <v>0</v>
      </c>
      <c r="I77" s="222"/>
      <c r="J77" s="209"/>
      <c r="K77" s="216"/>
      <c r="L77" s="221">
        <f t="shared" si="14"/>
        <v>109814.8</v>
      </c>
      <c r="M77" s="202"/>
      <c r="N77" s="178"/>
      <c r="O77" s="178"/>
      <c r="P77" s="178"/>
      <c r="Q77" s="178">
        <v>90000</v>
      </c>
      <c r="R77" s="178">
        <v>19814.8</v>
      </c>
      <c r="S77" s="178"/>
      <c r="T77" s="178"/>
      <c r="U77" s="178"/>
      <c r="V77" s="178"/>
      <c r="W77" s="178"/>
      <c r="X77" s="182">
        <f t="shared" si="15"/>
        <v>109814.8</v>
      </c>
    </row>
    <row r="78" spans="1:24" s="131" customFormat="1" ht="37.5">
      <c r="A78" s="138"/>
      <c r="B78" s="138"/>
      <c r="C78" s="137" t="s">
        <v>148</v>
      </c>
      <c r="D78" s="155">
        <f t="shared" si="12"/>
        <v>412059.78</v>
      </c>
      <c r="E78" s="155"/>
      <c r="F78" s="155">
        <f t="shared" si="13"/>
        <v>412059.78</v>
      </c>
      <c r="G78" s="155">
        <v>412059.78</v>
      </c>
      <c r="H78" s="204">
        <v>0</v>
      </c>
      <c r="I78" s="222"/>
      <c r="J78" s="209"/>
      <c r="K78" s="216"/>
      <c r="L78" s="221">
        <f t="shared" si="14"/>
        <v>412059.78</v>
      </c>
      <c r="M78" s="202"/>
      <c r="N78" s="178"/>
      <c r="O78" s="178"/>
      <c r="P78" s="178">
        <v>100000</v>
      </c>
      <c r="Q78" s="178">
        <v>200000</v>
      </c>
      <c r="R78" s="178">
        <v>112059.78</v>
      </c>
      <c r="S78" s="178"/>
      <c r="T78" s="178"/>
      <c r="U78" s="178"/>
      <c r="V78" s="178"/>
      <c r="W78" s="178"/>
      <c r="X78" s="182">
        <f t="shared" si="15"/>
        <v>412059.78</v>
      </c>
    </row>
    <row r="79" spans="1:24" s="131" customFormat="1" ht="37.5">
      <c r="A79" s="138"/>
      <c r="B79" s="138"/>
      <c r="C79" s="137" t="s">
        <v>149</v>
      </c>
      <c r="D79" s="155">
        <f t="shared" si="12"/>
        <v>134000</v>
      </c>
      <c r="E79" s="155"/>
      <c r="F79" s="155">
        <f t="shared" si="13"/>
        <v>134000</v>
      </c>
      <c r="G79" s="155">
        <v>134000</v>
      </c>
      <c r="H79" s="204">
        <f>4785.73</f>
        <v>4785.73</v>
      </c>
      <c r="I79" s="222"/>
      <c r="J79" s="209">
        <f t="shared" si="8"/>
        <v>3.5714402985074627</v>
      </c>
      <c r="K79" s="216"/>
      <c r="L79" s="221">
        <f t="shared" si="14"/>
        <v>129214.27</v>
      </c>
      <c r="M79" s="202"/>
      <c r="N79" s="178"/>
      <c r="O79" s="178"/>
      <c r="P79" s="178"/>
      <c r="Q79" s="178"/>
      <c r="R79" s="178">
        <v>30000</v>
      </c>
      <c r="S79" s="178">
        <v>50000</v>
      </c>
      <c r="T79" s="178">
        <v>54000</v>
      </c>
      <c r="U79" s="178"/>
      <c r="V79" s="178"/>
      <c r="W79" s="178"/>
      <c r="X79" s="182">
        <f t="shared" si="15"/>
        <v>134000</v>
      </c>
    </row>
    <row r="80" spans="1:24" s="131" customFormat="1" ht="37.5">
      <c r="A80" s="138"/>
      <c r="B80" s="138"/>
      <c r="C80" s="137" t="s">
        <v>150</v>
      </c>
      <c r="D80" s="155">
        <f t="shared" si="12"/>
        <v>80000</v>
      </c>
      <c r="E80" s="155"/>
      <c r="F80" s="155">
        <f t="shared" si="13"/>
        <v>80000</v>
      </c>
      <c r="G80" s="155">
        <v>80000</v>
      </c>
      <c r="H80" s="204">
        <v>0</v>
      </c>
      <c r="I80" s="222"/>
      <c r="J80" s="209"/>
      <c r="K80" s="216"/>
      <c r="L80" s="221">
        <f t="shared" si="14"/>
        <v>80000</v>
      </c>
      <c r="M80" s="202"/>
      <c r="N80" s="178"/>
      <c r="O80" s="178"/>
      <c r="P80" s="178"/>
      <c r="Q80" s="178">
        <v>80000</v>
      </c>
      <c r="R80" s="178"/>
      <c r="S80" s="178"/>
      <c r="T80" s="178"/>
      <c r="U80" s="178"/>
      <c r="V80" s="178"/>
      <c r="W80" s="178"/>
      <c r="X80" s="182">
        <f t="shared" si="15"/>
        <v>80000</v>
      </c>
    </row>
    <row r="81" spans="1:24" s="131" customFormat="1" ht="18.75">
      <c r="A81" s="138"/>
      <c r="B81" s="138"/>
      <c r="C81" s="137" t="s">
        <v>533</v>
      </c>
      <c r="D81" s="155">
        <f t="shared" si="12"/>
        <v>300000</v>
      </c>
      <c r="E81" s="155"/>
      <c r="F81" s="155">
        <f t="shared" si="13"/>
        <v>300000</v>
      </c>
      <c r="G81" s="155">
        <v>300000</v>
      </c>
      <c r="H81" s="204">
        <f>48143.1</f>
        <v>48143.1</v>
      </c>
      <c r="I81" s="222"/>
      <c r="J81" s="209">
        <f t="shared" si="8"/>
        <v>16.047700000000003</v>
      </c>
      <c r="K81" s="216"/>
      <c r="L81" s="221">
        <f t="shared" si="14"/>
        <v>251856.9</v>
      </c>
      <c r="M81" s="202"/>
      <c r="N81" s="178"/>
      <c r="O81" s="178"/>
      <c r="P81" s="178"/>
      <c r="Q81" s="178"/>
      <c r="R81" s="178">
        <v>100000</v>
      </c>
      <c r="S81" s="178">
        <v>100000</v>
      </c>
      <c r="T81" s="178">
        <v>100000</v>
      </c>
      <c r="U81" s="178"/>
      <c r="V81" s="178"/>
      <c r="W81" s="178"/>
      <c r="X81" s="182">
        <f t="shared" si="15"/>
        <v>300000</v>
      </c>
    </row>
    <row r="82" spans="1:24" s="131" customFormat="1" ht="37.5">
      <c r="A82" s="138"/>
      <c r="B82" s="138"/>
      <c r="C82" s="137" t="s">
        <v>151</v>
      </c>
      <c r="D82" s="155">
        <f t="shared" si="12"/>
        <v>380000</v>
      </c>
      <c r="E82" s="155"/>
      <c r="F82" s="155">
        <f t="shared" si="13"/>
        <v>380000</v>
      </c>
      <c r="G82" s="155">
        <v>380000</v>
      </c>
      <c r="H82" s="204">
        <v>0</v>
      </c>
      <c r="I82" s="222"/>
      <c r="J82" s="209"/>
      <c r="K82" s="216"/>
      <c r="L82" s="221">
        <f t="shared" si="14"/>
        <v>270000</v>
      </c>
      <c r="M82" s="202"/>
      <c r="N82" s="178"/>
      <c r="O82" s="178"/>
      <c r="P82" s="178"/>
      <c r="Q82" s="178"/>
      <c r="R82" s="178">
        <v>50000</v>
      </c>
      <c r="S82" s="178">
        <v>110000</v>
      </c>
      <c r="T82" s="178">
        <v>110000</v>
      </c>
      <c r="U82" s="178">
        <v>110000</v>
      </c>
      <c r="V82" s="178"/>
      <c r="W82" s="178"/>
      <c r="X82" s="182">
        <f t="shared" si="15"/>
        <v>380000</v>
      </c>
    </row>
    <row r="83" spans="1:24" ht="18.75">
      <c r="A83" s="164"/>
      <c r="B83" s="169"/>
      <c r="C83" s="165" t="s">
        <v>542</v>
      </c>
      <c r="D83" s="152">
        <f>D7+D39+D36</f>
        <v>56282747.27</v>
      </c>
      <c r="E83" s="152">
        <f>E7+E39+E36</f>
        <v>13200000</v>
      </c>
      <c r="F83" s="152">
        <f>F7+F39+F36</f>
        <v>43082747.27</v>
      </c>
      <c r="G83" s="152">
        <f>G7+G39+G36</f>
        <v>39363973.62000001</v>
      </c>
      <c r="H83" s="175">
        <f>H7+H39+H36</f>
        <v>13926407.91</v>
      </c>
      <c r="I83" s="175"/>
      <c r="J83" s="227">
        <f t="shared" si="8"/>
        <v>28.456657521460137</v>
      </c>
      <c r="K83" s="218"/>
      <c r="L83" s="220">
        <f t="shared" si="14"/>
        <v>35012607.150000006</v>
      </c>
      <c r="M83" s="192">
        <f aca="true" t="shared" si="16" ref="M83:X83">M7+M39+M36</f>
        <v>2859888.08</v>
      </c>
      <c r="N83" s="152">
        <f t="shared" si="16"/>
        <v>450000</v>
      </c>
      <c r="O83" s="152">
        <f t="shared" si="16"/>
        <v>1900000</v>
      </c>
      <c r="P83" s="152">
        <f t="shared" si="16"/>
        <v>4926782.66</v>
      </c>
      <c r="Q83" s="152">
        <f t="shared" si="16"/>
        <v>4991645.949999999</v>
      </c>
      <c r="R83" s="152">
        <f t="shared" si="16"/>
        <v>5508135.970000001</v>
      </c>
      <c r="S83" s="152">
        <f t="shared" si="16"/>
        <v>13867948.33</v>
      </c>
      <c r="T83" s="152">
        <f t="shared" si="16"/>
        <v>14434614.07</v>
      </c>
      <c r="U83" s="152">
        <f t="shared" si="16"/>
        <v>5119732.21</v>
      </c>
      <c r="V83" s="152">
        <f t="shared" si="16"/>
        <v>1800000</v>
      </c>
      <c r="W83" s="152">
        <f t="shared" si="16"/>
        <v>424000</v>
      </c>
      <c r="X83" s="152">
        <f t="shared" si="16"/>
        <v>56282747.27</v>
      </c>
    </row>
    <row r="84" spans="1:6" ht="18.75">
      <c r="A84" s="144"/>
      <c r="B84" s="139"/>
      <c r="C84" s="166"/>
      <c r="D84" s="167"/>
      <c r="E84" s="139"/>
      <c r="F84" s="139"/>
    </row>
    <row r="85" spans="1:6" ht="18.75">
      <c r="A85" s="139"/>
      <c r="B85" s="140"/>
      <c r="C85" s="141"/>
      <c r="D85" s="142"/>
      <c r="E85" s="140"/>
      <c r="F85" s="139"/>
    </row>
    <row r="86" spans="1:7" ht="33" customHeight="1">
      <c r="A86" s="268"/>
      <c r="B86" s="268"/>
      <c r="C86" s="268"/>
      <c r="D86" s="145"/>
      <c r="E86" s="145"/>
      <c r="F86" s="145"/>
      <c r="G86" s="145"/>
    </row>
  </sheetData>
  <sheetProtection/>
  <mergeCells count="13">
    <mergeCell ref="A86:C86"/>
    <mergeCell ref="A4:A5"/>
    <mergeCell ref="C4:C5"/>
    <mergeCell ref="D4:D5"/>
    <mergeCell ref="A35:J35"/>
    <mergeCell ref="A6:J6"/>
    <mergeCell ref="J4:J5"/>
    <mergeCell ref="I4:I5"/>
    <mergeCell ref="A1:H1"/>
    <mergeCell ref="A2:H2"/>
    <mergeCell ref="H4:H5"/>
    <mergeCell ref="E4:E5"/>
    <mergeCell ref="F4:F5"/>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2015-08-20T05:42:48Z</cp:lastPrinted>
  <dcterms:created xsi:type="dcterms:W3CDTF">2014-01-17T10:52:16Z</dcterms:created>
  <dcterms:modified xsi:type="dcterms:W3CDTF">2015-09-22T13:11:53Z</dcterms:modified>
  <cp:category/>
  <cp:version/>
  <cp:contentType/>
  <cp:contentStatus/>
</cp:coreProperties>
</file>